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10480"/>
  </bookViews>
  <sheets>
    <sheet name="总排名" sheetId="21" r:id="rId1"/>
  </sheets>
  <definedNames>
    <definedName name="_xlnm.Print_Titles" localSheetId="0">总排名!$1:$3</definedName>
  </definedNames>
  <calcPr calcId="144525"/>
</workbook>
</file>

<file path=xl/sharedStrings.xml><?xml version="1.0" encoding="utf-8"?>
<sst xmlns="http://schemas.openxmlformats.org/spreadsheetml/2006/main" count="48">
  <si>
    <t>隆林各族自治县2018年特岗教师招聘面试成绩排名表</t>
  </si>
  <si>
    <t>统计单位：隆林各族自治县教育局                                  2018年7月28日</t>
  </si>
  <si>
    <t>编号</t>
  </si>
  <si>
    <t>姓名</t>
  </si>
  <si>
    <t>性别</t>
  </si>
  <si>
    <t>民族</t>
  </si>
  <si>
    <t>家庭地址</t>
  </si>
  <si>
    <t>任教学段</t>
  </si>
  <si>
    <t>任教科目</t>
  </si>
  <si>
    <t>报考乡镇</t>
  </si>
  <si>
    <t>考场</t>
  </si>
  <si>
    <t>面试成绩</t>
  </si>
  <si>
    <t>岗位排名</t>
  </si>
  <si>
    <t>聘用意见</t>
  </si>
  <si>
    <t>一试场</t>
  </si>
  <si>
    <t>拟聘用</t>
  </si>
  <si>
    <t>贵州安龙</t>
  </si>
  <si>
    <t>云南曲靖</t>
  </si>
  <si>
    <t>缺考</t>
  </si>
  <si>
    <t>德峨镇</t>
  </si>
  <si>
    <t>二试场</t>
  </si>
  <si>
    <t>金钟山</t>
  </si>
  <si>
    <t>贵州省册亨县</t>
  </si>
  <si>
    <t>克长乡</t>
  </si>
  <si>
    <t>蛇场乡</t>
  </si>
  <si>
    <t>三试场</t>
  </si>
  <si>
    <t>四试场</t>
  </si>
  <si>
    <t>广西隆林</t>
  </si>
  <si>
    <t>广西百色隆林县</t>
  </si>
  <si>
    <t>五试场</t>
  </si>
  <si>
    <t>贵州</t>
  </si>
  <si>
    <t>六试场</t>
  </si>
  <si>
    <t>七试场</t>
  </si>
  <si>
    <t>八试场</t>
  </si>
  <si>
    <t>九试场</t>
  </si>
  <si>
    <t>十试场</t>
  </si>
  <si>
    <t>十一试场</t>
  </si>
  <si>
    <t>十二试场</t>
  </si>
  <si>
    <t>十三试场</t>
  </si>
  <si>
    <t>革步乡</t>
  </si>
  <si>
    <t>十四试场</t>
  </si>
  <si>
    <t>猪场乡</t>
  </si>
  <si>
    <t>十五试场</t>
  </si>
  <si>
    <t>十六试场</t>
  </si>
  <si>
    <t>自动放弃</t>
  </si>
  <si>
    <t>十七试场</t>
  </si>
  <si>
    <t>十八试场</t>
  </si>
  <si>
    <t>十九试场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</si>
</sst>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方正小标宋_GBK"/>
      <charset val="134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6" fillId="0" borderId="2" xfId="49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4"/>
  <sheetViews>
    <sheetView tabSelected="1" workbookViewId="0">
      <selection activeCell="E3" sqref="E$1:E$1048576"/>
    </sheetView>
  </sheetViews>
  <sheetFormatPr defaultColWidth="9" defaultRowHeight="15"/>
  <cols>
    <col min="1" max="1" width="5" customWidth="1"/>
    <col min="2" max="2" width="6.87610619469027" customWidth="1"/>
    <col min="3" max="3" width="5.50442477876106" customWidth="1"/>
    <col min="4" max="4" width="6.24778761061947" customWidth="1"/>
    <col min="5" max="5" width="25.6283185840708" customWidth="1"/>
    <col min="8" max="8" width="9.6283185840708" customWidth="1"/>
    <col min="9" max="9" width="11.6283185840708" customWidth="1"/>
    <col min="10" max="10" width="8.12389380530973" style="5" customWidth="1"/>
    <col min="12" max="12" width="9" style="6"/>
  </cols>
  <sheetData>
    <row r="1" ht="37.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27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41.2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2" t="s">
        <v>11</v>
      </c>
      <c r="K3" s="9" t="s">
        <v>12</v>
      </c>
      <c r="L3" s="9" t="s">
        <v>13</v>
      </c>
    </row>
    <row r="4" s="3" customFormat="1" ht="33" customHeight="1" spans="1:12">
      <c r="A4" s="10">
        <v>1</v>
      </c>
      <c r="B4" s="10" t="str">
        <f>"黄掬"</f>
        <v>黄掬</v>
      </c>
      <c r="C4" s="10" t="str">
        <f>"女        "</f>
        <v>女        </v>
      </c>
      <c r="D4" s="10" t="str">
        <f>"布依族"</f>
        <v>布依族</v>
      </c>
      <c r="E4" s="10" t="str">
        <f>"贵州省安龙县招堤街道办事处西关街11号"</f>
        <v>贵州省安龙县招堤街道办事处西关街11号</v>
      </c>
      <c r="F4" s="10" t="str">
        <f t="shared" ref="F4:F35" si="0">"初中"</f>
        <v>初中</v>
      </c>
      <c r="G4" s="10" t="str">
        <f t="shared" ref="G4:G20" si="1">"202:语文"</f>
        <v>202:语文</v>
      </c>
      <c r="H4" s="10"/>
      <c r="I4" s="9" t="s">
        <v>14</v>
      </c>
      <c r="J4" s="13">
        <v>87.46</v>
      </c>
      <c r="K4" s="14">
        <v>1</v>
      </c>
      <c r="L4" s="9" t="s">
        <v>15</v>
      </c>
    </row>
    <row r="5" s="3" customFormat="1" ht="33" customHeight="1" spans="1:12">
      <c r="A5" s="10">
        <v>2</v>
      </c>
      <c r="B5" s="10" t="str">
        <f>"韦翔"</f>
        <v>韦翔</v>
      </c>
      <c r="C5" s="10" t="str">
        <f>"男        "</f>
        <v>男        </v>
      </c>
      <c r="D5" s="10" t="str">
        <f>"壮族"</f>
        <v>壮族</v>
      </c>
      <c r="E5" s="10" t="str">
        <f>"广西隆林各组自治县天生桥镇岩卡村平恒屯"</f>
        <v>广西隆林各组自治县天生桥镇岩卡村平恒屯</v>
      </c>
      <c r="F5" s="10" t="str">
        <f t="shared" si="0"/>
        <v>初中</v>
      </c>
      <c r="G5" s="10" t="str">
        <f t="shared" si="1"/>
        <v>202:语文</v>
      </c>
      <c r="H5" s="10"/>
      <c r="I5" s="9" t="s">
        <v>14</v>
      </c>
      <c r="J5" s="13">
        <v>87.3</v>
      </c>
      <c r="K5" s="14">
        <v>2</v>
      </c>
      <c r="L5" s="9" t="s">
        <v>15</v>
      </c>
    </row>
    <row r="6" s="3" customFormat="1" ht="33" customHeight="1" spans="1:12">
      <c r="A6" s="10">
        <v>3</v>
      </c>
      <c r="B6" s="10" t="str">
        <f>"朱绍贇"</f>
        <v>朱绍贇</v>
      </c>
      <c r="C6" s="10" t="str">
        <f>"女        "</f>
        <v>女        </v>
      </c>
      <c r="D6" s="10" t="str">
        <f>"彝族"</f>
        <v>彝族</v>
      </c>
      <c r="E6" s="10" t="s">
        <v>16</v>
      </c>
      <c r="F6" s="10" t="str">
        <f t="shared" si="0"/>
        <v>初中</v>
      </c>
      <c r="G6" s="10" t="str">
        <f t="shared" si="1"/>
        <v>202:语文</v>
      </c>
      <c r="H6" s="10"/>
      <c r="I6" s="9" t="s">
        <v>14</v>
      </c>
      <c r="J6" s="13">
        <v>87</v>
      </c>
      <c r="K6" s="14">
        <v>3</v>
      </c>
      <c r="L6" s="9" t="s">
        <v>15</v>
      </c>
    </row>
    <row r="7" s="3" customFormat="1" ht="33" customHeight="1" spans="1:12">
      <c r="A7" s="10">
        <v>4</v>
      </c>
      <c r="B7" s="10" t="str">
        <f>"杨峥"</f>
        <v>杨峥</v>
      </c>
      <c r="C7" s="10" t="str">
        <f>"男        "</f>
        <v>男        </v>
      </c>
      <c r="D7" s="10" t="str">
        <f>"汉族"</f>
        <v>汉族</v>
      </c>
      <c r="E7" s="10" t="str">
        <f>"贵州省威宁县金钟镇"</f>
        <v>贵州省威宁县金钟镇</v>
      </c>
      <c r="F7" s="10" t="str">
        <f t="shared" si="0"/>
        <v>初中</v>
      </c>
      <c r="G7" s="10" t="str">
        <f t="shared" si="1"/>
        <v>202:语文</v>
      </c>
      <c r="H7" s="10"/>
      <c r="I7" s="9" t="s">
        <v>14</v>
      </c>
      <c r="J7" s="13">
        <v>86.6</v>
      </c>
      <c r="K7" s="14">
        <v>4</v>
      </c>
      <c r="L7" s="9" t="s">
        <v>15</v>
      </c>
    </row>
    <row r="8" s="3" customFormat="1" ht="33" customHeight="1" spans="1:12">
      <c r="A8" s="10">
        <v>5</v>
      </c>
      <c r="B8" s="10" t="str">
        <f>"刘清"</f>
        <v>刘清</v>
      </c>
      <c r="C8" s="10" t="str">
        <f>"女        "</f>
        <v>女        </v>
      </c>
      <c r="D8" s="10" t="str">
        <f>"汉族"</f>
        <v>汉族</v>
      </c>
      <c r="E8" s="10" t="str">
        <f>"云南省曲靖市宣威市热水镇响宗村委会大地坡村101号"</f>
        <v>云南省曲靖市宣威市热水镇响宗村委会大地坡村101号</v>
      </c>
      <c r="F8" s="10" t="str">
        <f t="shared" si="0"/>
        <v>初中</v>
      </c>
      <c r="G8" s="10" t="str">
        <f t="shared" si="1"/>
        <v>202:语文</v>
      </c>
      <c r="H8" s="10"/>
      <c r="I8" s="9" t="s">
        <v>14</v>
      </c>
      <c r="J8" s="13">
        <v>86.46</v>
      </c>
      <c r="K8" s="14">
        <v>5</v>
      </c>
      <c r="L8" s="9" t="s">
        <v>15</v>
      </c>
    </row>
    <row r="9" s="3" customFormat="1" ht="33" customHeight="1" spans="1:12">
      <c r="A9" s="10">
        <v>6</v>
      </c>
      <c r="B9" s="10" t="str">
        <f>"蒙仕慧"</f>
        <v>蒙仕慧</v>
      </c>
      <c r="C9" s="10" t="str">
        <f>"女        "</f>
        <v>女        </v>
      </c>
      <c r="D9" s="10" t="str">
        <f>"布依族"</f>
        <v>布依族</v>
      </c>
      <c r="E9" s="10" t="str">
        <f>"贵州省望谟县大观镇大观村五组"</f>
        <v>贵州省望谟县大观镇大观村五组</v>
      </c>
      <c r="F9" s="10" t="str">
        <f t="shared" si="0"/>
        <v>初中</v>
      </c>
      <c r="G9" s="10" t="str">
        <f t="shared" si="1"/>
        <v>202:语文</v>
      </c>
      <c r="H9" s="10"/>
      <c r="I9" s="9" t="s">
        <v>14</v>
      </c>
      <c r="J9" s="13">
        <v>85.22</v>
      </c>
      <c r="K9" s="10">
        <v>6</v>
      </c>
      <c r="L9" s="9"/>
    </row>
    <row r="10" s="3" customFormat="1" ht="33" customHeight="1" spans="1:12">
      <c r="A10" s="10">
        <v>7</v>
      </c>
      <c r="B10" s="10" t="str">
        <f>"杨正面"</f>
        <v>杨正面</v>
      </c>
      <c r="C10" s="10" t="str">
        <f>"女        "</f>
        <v>女        </v>
      </c>
      <c r="D10" s="10" t="str">
        <f>"汉族"</f>
        <v>汉族</v>
      </c>
      <c r="E10" s="10" t="str">
        <f>"贵州省望谟县桑郎镇打搞村二组"</f>
        <v>贵州省望谟县桑郎镇打搞村二组</v>
      </c>
      <c r="F10" s="10" t="str">
        <f t="shared" si="0"/>
        <v>初中</v>
      </c>
      <c r="G10" s="10" t="str">
        <f t="shared" si="1"/>
        <v>202:语文</v>
      </c>
      <c r="H10" s="10"/>
      <c r="I10" s="9" t="s">
        <v>14</v>
      </c>
      <c r="J10" s="13">
        <v>85.1</v>
      </c>
      <c r="K10" s="10">
        <v>7</v>
      </c>
      <c r="L10" s="9"/>
    </row>
    <row r="11" s="3" customFormat="1" ht="33" customHeight="1" spans="1:12">
      <c r="A11" s="10">
        <v>8</v>
      </c>
      <c r="B11" s="10" t="str">
        <f>"侬发光"</f>
        <v>侬发光</v>
      </c>
      <c r="C11" s="10" t="str">
        <f>"女        "</f>
        <v>女        </v>
      </c>
      <c r="D11" s="10" t="str">
        <f>"壮族"</f>
        <v>壮族</v>
      </c>
      <c r="E11" s="10" t="str">
        <f>"云南省文山壮族苗族自治州广南县底圩乡石尧村民委"</f>
        <v>云南省文山壮族苗族自治州广南县底圩乡石尧村民委</v>
      </c>
      <c r="F11" s="10" t="str">
        <f t="shared" si="0"/>
        <v>初中</v>
      </c>
      <c r="G11" s="10" t="str">
        <f t="shared" si="1"/>
        <v>202:语文</v>
      </c>
      <c r="H11" s="10"/>
      <c r="I11" s="9" t="s">
        <v>14</v>
      </c>
      <c r="J11" s="13">
        <v>84.78</v>
      </c>
      <c r="K11" s="10">
        <v>8</v>
      </c>
      <c r="L11" s="9"/>
    </row>
    <row r="12" s="3" customFormat="1" ht="33" customHeight="1" spans="1:12">
      <c r="A12" s="10">
        <v>9</v>
      </c>
      <c r="B12" s="10" t="str">
        <f>"朱家威"</f>
        <v>朱家威</v>
      </c>
      <c r="C12" s="10" t="str">
        <f>"男        "</f>
        <v>男        </v>
      </c>
      <c r="D12" s="10" t="str">
        <f>"汉族"</f>
        <v>汉族</v>
      </c>
      <c r="E12" s="10" t="str">
        <f>"贵州省水城县鸡场镇"</f>
        <v>贵州省水城县鸡场镇</v>
      </c>
      <c r="F12" s="10" t="str">
        <f t="shared" si="0"/>
        <v>初中</v>
      </c>
      <c r="G12" s="10" t="str">
        <f t="shared" si="1"/>
        <v>202:语文</v>
      </c>
      <c r="H12" s="10"/>
      <c r="I12" s="9" t="s">
        <v>14</v>
      </c>
      <c r="J12" s="13">
        <v>84.7</v>
      </c>
      <c r="K12" s="10">
        <v>9</v>
      </c>
      <c r="L12" s="9"/>
    </row>
    <row r="13" s="3" customFormat="1" ht="33" customHeight="1" spans="1:12">
      <c r="A13" s="10">
        <v>10</v>
      </c>
      <c r="B13" s="10" t="str">
        <f>"尚教信"</f>
        <v>尚教信</v>
      </c>
      <c r="C13" s="10" t="str">
        <f>"女        "</f>
        <v>女        </v>
      </c>
      <c r="D13" s="10" t="str">
        <f>"仡佬族"</f>
        <v>仡佬族</v>
      </c>
      <c r="E13" s="10" t="str">
        <f>"贵州省兴仁县回龙镇狮子村小子冲二组"</f>
        <v>贵州省兴仁县回龙镇狮子村小子冲二组</v>
      </c>
      <c r="F13" s="10" t="str">
        <f t="shared" si="0"/>
        <v>初中</v>
      </c>
      <c r="G13" s="10" t="str">
        <f t="shared" si="1"/>
        <v>202:语文</v>
      </c>
      <c r="H13" s="10"/>
      <c r="I13" s="9" t="s">
        <v>14</v>
      </c>
      <c r="J13" s="13">
        <v>84.54</v>
      </c>
      <c r="K13" s="10">
        <v>10</v>
      </c>
      <c r="L13" s="9"/>
    </row>
    <row r="14" s="3" customFormat="1" ht="33" customHeight="1" spans="1:12">
      <c r="A14" s="10">
        <v>11</v>
      </c>
      <c r="B14" s="10" t="str">
        <f>"吴万珍"</f>
        <v>吴万珍</v>
      </c>
      <c r="C14" s="10" t="str">
        <f>"女        "</f>
        <v>女        </v>
      </c>
      <c r="D14" s="10" t="str">
        <f>"彝族"</f>
        <v>彝族</v>
      </c>
      <c r="E14" s="10" t="str">
        <f>"贵州省安龙县洒雨镇海星村断桥组"</f>
        <v>贵州省安龙县洒雨镇海星村断桥组</v>
      </c>
      <c r="F14" s="10" t="str">
        <f t="shared" si="0"/>
        <v>初中</v>
      </c>
      <c r="G14" s="10" t="str">
        <f t="shared" si="1"/>
        <v>202:语文</v>
      </c>
      <c r="H14" s="10"/>
      <c r="I14" s="9" t="s">
        <v>14</v>
      </c>
      <c r="J14" s="13">
        <v>84.5</v>
      </c>
      <c r="K14" s="10">
        <v>11</v>
      </c>
      <c r="L14" s="9"/>
    </row>
    <row r="15" s="3" customFormat="1" ht="33" customHeight="1" spans="1:12">
      <c r="A15" s="10">
        <v>12</v>
      </c>
      <c r="B15" s="10" t="str">
        <f>"黄婷"</f>
        <v>黄婷</v>
      </c>
      <c r="C15" s="10" t="str">
        <f>"女        "</f>
        <v>女        </v>
      </c>
      <c r="D15" s="10" t="str">
        <f>"壮族"</f>
        <v>壮族</v>
      </c>
      <c r="E15" s="10" t="str">
        <f>"广西百色市右江区永乐乡西乐村那豆屯"</f>
        <v>广西百色市右江区永乐乡西乐村那豆屯</v>
      </c>
      <c r="F15" s="10" t="str">
        <f t="shared" si="0"/>
        <v>初中</v>
      </c>
      <c r="G15" s="10" t="str">
        <f t="shared" si="1"/>
        <v>202:语文</v>
      </c>
      <c r="H15" s="10"/>
      <c r="I15" s="9" t="s">
        <v>14</v>
      </c>
      <c r="J15" s="13">
        <v>84.5</v>
      </c>
      <c r="K15" s="10">
        <v>12</v>
      </c>
      <c r="L15" s="9"/>
    </row>
    <row r="16" s="3" customFormat="1" ht="33" customHeight="1" spans="1:12">
      <c r="A16" s="10">
        <v>13</v>
      </c>
      <c r="B16" s="10" t="str">
        <f>"周华英"</f>
        <v>周华英</v>
      </c>
      <c r="C16" s="10" t="str">
        <f>"女        "</f>
        <v>女        </v>
      </c>
      <c r="D16" s="10" t="str">
        <f>"汉族"</f>
        <v>汉族</v>
      </c>
      <c r="E16" s="10" t="str">
        <f>"贵州省望谟县新屯镇竹山村竹山组"</f>
        <v>贵州省望谟县新屯镇竹山村竹山组</v>
      </c>
      <c r="F16" s="10" t="str">
        <f t="shared" si="0"/>
        <v>初中</v>
      </c>
      <c r="G16" s="10" t="str">
        <f t="shared" si="1"/>
        <v>202:语文</v>
      </c>
      <c r="H16" s="10"/>
      <c r="I16" s="9" t="s">
        <v>14</v>
      </c>
      <c r="J16" s="13">
        <v>83.4</v>
      </c>
      <c r="K16" s="10">
        <v>13</v>
      </c>
      <c r="L16" s="9"/>
    </row>
    <row r="17" s="3" customFormat="1" ht="33" customHeight="1" spans="1:12">
      <c r="A17" s="10">
        <v>14</v>
      </c>
      <c r="B17" s="10" t="str">
        <f>"叶星婵"</f>
        <v>叶星婵</v>
      </c>
      <c r="C17" s="10" t="str">
        <f>"男        "</f>
        <v>男        </v>
      </c>
      <c r="D17" s="10" t="str">
        <f>"布依族"</f>
        <v>布依族</v>
      </c>
      <c r="E17" s="10" t="str">
        <f>"贵州省册亨县双江镇顶肖小学"</f>
        <v>贵州省册亨县双江镇顶肖小学</v>
      </c>
      <c r="F17" s="10" t="str">
        <f t="shared" si="0"/>
        <v>初中</v>
      </c>
      <c r="G17" s="10" t="str">
        <f t="shared" si="1"/>
        <v>202:语文</v>
      </c>
      <c r="H17" s="10"/>
      <c r="I17" s="9" t="s">
        <v>14</v>
      </c>
      <c r="J17" s="13">
        <v>82.8</v>
      </c>
      <c r="K17" s="10">
        <v>14</v>
      </c>
      <c r="L17" s="9"/>
    </row>
    <row r="18" s="3" customFormat="1" ht="33" customHeight="1" spans="1:12">
      <c r="A18" s="10">
        <v>15</v>
      </c>
      <c r="B18" s="10" t="str">
        <f>"窦开祥"</f>
        <v>窦开祥</v>
      </c>
      <c r="C18" s="10" t="str">
        <f>"男        "</f>
        <v>男        </v>
      </c>
      <c r="D18" s="10" t="str">
        <f>"汉族"</f>
        <v>汉族</v>
      </c>
      <c r="E18" s="10" t="s">
        <v>17</v>
      </c>
      <c r="F18" s="10" t="str">
        <f t="shared" si="0"/>
        <v>初中</v>
      </c>
      <c r="G18" s="10" t="str">
        <f t="shared" si="1"/>
        <v>202:语文</v>
      </c>
      <c r="H18" s="10"/>
      <c r="I18" s="9" t="s">
        <v>14</v>
      </c>
      <c r="J18" s="13">
        <v>81.4</v>
      </c>
      <c r="K18" s="10">
        <v>15</v>
      </c>
      <c r="L18" s="9"/>
    </row>
    <row r="19" s="3" customFormat="1" ht="33" customHeight="1" spans="1:12">
      <c r="A19" s="10">
        <v>16</v>
      </c>
      <c r="B19" s="10" t="str">
        <f>"袁选择"</f>
        <v>袁选择</v>
      </c>
      <c r="C19" s="10" t="str">
        <f>"男        "</f>
        <v>男        </v>
      </c>
      <c r="D19" s="10" t="str">
        <f>"布依族"</f>
        <v>布依族</v>
      </c>
      <c r="E19" s="10" t="str">
        <f>"贵州省兴义市"</f>
        <v>贵州省兴义市</v>
      </c>
      <c r="F19" s="10" t="str">
        <f t="shared" si="0"/>
        <v>初中</v>
      </c>
      <c r="G19" s="10" t="str">
        <f t="shared" si="1"/>
        <v>202:语文</v>
      </c>
      <c r="H19" s="10"/>
      <c r="I19" s="9" t="s">
        <v>14</v>
      </c>
      <c r="J19" s="13">
        <v>81.4</v>
      </c>
      <c r="K19" s="10">
        <v>16</v>
      </c>
      <c r="L19" s="9"/>
    </row>
    <row r="20" s="3" customFormat="1" ht="33" customHeight="1" spans="1:12">
      <c r="A20" s="10">
        <v>17</v>
      </c>
      <c r="B20" s="10" t="str">
        <f>"梁海鸿"</f>
        <v>梁海鸿</v>
      </c>
      <c r="C20" s="10" t="str">
        <f>"女        "</f>
        <v>女        </v>
      </c>
      <c r="D20" s="10" t="str">
        <f>"壮族"</f>
        <v>壮族</v>
      </c>
      <c r="E20" s="10" t="str">
        <f>"广西隆林各族自治县介廷乡老寨村巴拉屯"</f>
        <v>广西隆林各族自治县介廷乡老寨村巴拉屯</v>
      </c>
      <c r="F20" s="10" t="str">
        <f t="shared" si="0"/>
        <v>初中</v>
      </c>
      <c r="G20" s="10" t="str">
        <f t="shared" si="1"/>
        <v>202:语文</v>
      </c>
      <c r="H20" s="10"/>
      <c r="I20" s="9" t="s">
        <v>14</v>
      </c>
      <c r="J20" s="13" t="s">
        <v>18</v>
      </c>
      <c r="K20" s="10">
        <v>17</v>
      </c>
      <c r="L20" s="9"/>
    </row>
    <row r="21" s="4" customFormat="1" ht="33" customHeight="1" spans="1:12">
      <c r="A21" s="10">
        <v>18</v>
      </c>
      <c r="B21" s="10" t="str">
        <f>"刘梦娇"</f>
        <v>刘梦娇</v>
      </c>
      <c r="C21" s="10" t="str">
        <f>"女        "</f>
        <v>女        </v>
      </c>
      <c r="D21" s="10" t="str">
        <f>"汉族"</f>
        <v>汉族</v>
      </c>
      <c r="E21" s="10" t="str">
        <f>"云南省曲靖市罗平县鲁布革乡大坡村委会石丫口村"</f>
        <v>云南省曲靖市罗平县鲁布革乡大坡村委会石丫口村</v>
      </c>
      <c r="F21" s="10" t="str">
        <f t="shared" si="0"/>
        <v>初中</v>
      </c>
      <c r="G21" s="10" t="str">
        <f t="shared" ref="G21:G52" si="2">"211:化学"</f>
        <v>211:化学</v>
      </c>
      <c r="H21" s="10" t="s">
        <v>19</v>
      </c>
      <c r="I21" s="15" t="s">
        <v>20</v>
      </c>
      <c r="J21" s="13">
        <v>88.12</v>
      </c>
      <c r="K21" s="14">
        <v>1</v>
      </c>
      <c r="L21" s="16" t="s">
        <v>15</v>
      </c>
    </row>
    <row r="22" s="4" customFormat="1" ht="33" customHeight="1" spans="1:12">
      <c r="A22" s="10">
        <v>19</v>
      </c>
      <c r="B22" s="10" t="str">
        <f>"冯何艳"</f>
        <v>冯何艳</v>
      </c>
      <c r="C22" s="10" t="str">
        <f>"女        "</f>
        <v>女        </v>
      </c>
      <c r="D22" s="10" t="str">
        <f>"白族"</f>
        <v>白族</v>
      </c>
      <c r="E22" s="10" t="str">
        <f>"云南省大理州云龙县"</f>
        <v>云南省大理州云龙县</v>
      </c>
      <c r="F22" s="10" t="str">
        <f t="shared" si="0"/>
        <v>初中</v>
      </c>
      <c r="G22" s="10" t="str">
        <f t="shared" si="2"/>
        <v>211:化学</v>
      </c>
      <c r="H22" s="10" t="s">
        <v>19</v>
      </c>
      <c r="I22" s="15" t="s">
        <v>20</v>
      </c>
      <c r="J22" s="13">
        <v>86.6</v>
      </c>
      <c r="K22" s="10">
        <v>2</v>
      </c>
      <c r="L22" s="16"/>
    </row>
    <row r="23" s="4" customFormat="1" ht="33" customHeight="1" spans="1:12">
      <c r="A23" s="10">
        <v>20</v>
      </c>
      <c r="B23" s="10" t="str">
        <f>"徐武贤"</f>
        <v>徐武贤</v>
      </c>
      <c r="C23" s="10" t="str">
        <f>"男        "</f>
        <v>男        </v>
      </c>
      <c r="D23" s="10" t="str">
        <f>"汉族"</f>
        <v>汉族</v>
      </c>
      <c r="E23" s="10" t="str">
        <f>"贵州省盘县民主镇燕塘村4组"</f>
        <v>贵州省盘县民主镇燕塘村4组</v>
      </c>
      <c r="F23" s="10" t="str">
        <f t="shared" si="0"/>
        <v>初中</v>
      </c>
      <c r="G23" s="10" t="str">
        <f t="shared" si="2"/>
        <v>211:化学</v>
      </c>
      <c r="H23" s="10" t="s">
        <v>19</v>
      </c>
      <c r="I23" s="15" t="s">
        <v>20</v>
      </c>
      <c r="J23" s="13">
        <v>86.28</v>
      </c>
      <c r="K23" s="10">
        <v>3</v>
      </c>
      <c r="L23" s="16"/>
    </row>
    <row r="24" s="4" customFormat="1" ht="33" customHeight="1" spans="1:12">
      <c r="A24" s="10">
        <v>21</v>
      </c>
      <c r="B24" s="10" t="str">
        <f>"韦娟"</f>
        <v>韦娟</v>
      </c>
      <c r="C24" s="10" t="str">
        <f>"女        "</f>
        <v>女        </v>
      </c>
      <c r="D24" s="10" t="str">
        <f>"壮族"</f>
        <v>壮族</v>
      </c>
      <c r="E24" s="10" t="str">
        <f>"云南省文山市广南县坝美镇洛里村委者旦小组"</f>
        <v>云南省文山市广南县坝美镇洛里村委者旦小组</v>
      </c>
      <c r="F24" s="10" t="str">
        <f t="shared" si="0"/>
        <v>初中</v>
      </c>
      <c r="G24" s="10" t="str">
        <f t="shared" si="2"/>
        <v>211:化学</v>
      </c>
      <c r="H24" s="10" t="s">
        <v>19</v>
      </c>
      <c r="I24" s="15" t="s">
        <v>20</v>
      </c>
      <c r="J24" s="13">
        <v>85.98</v>
      </c>
      <c r="K24" s="10">
        <v>4</v>
      </c>
      <c r="L24" s="16"/>
    </row>
    <row r="25" s="4" customFormat="1" ht="33" customHeight="1" spans="1:12">
      <c r="A25" s="10">
        <v>22</v>
      </c>
      <c r="B25" s="10" t="str">
        <f>"贺浪"</f>
        <v>贺浪</v>
      </c>
      <c r="C25" s="10" t="str">
        <f>"女        "</f>
        <v>女        </v>
      </c>
      <c r="D25" s="10" t="str">
        <f>"布依族"</f>
        <v>布依族</v>
      </c>
      <c r="E25" s="10" t="str">
        <f>"贵州省兴义市马岭镇打邦村六组"</f>
        <v>贵州省兴义市马岭镇打邦村六组</v>
      </c>
      <c r="F25" s="10" t="str">
        <f t="shared" si="0"/>
        <v>初中</v>
      </c>
      <c r="G25" s="10" t="str">
        <f t="shared" si="2"/>
        <v>211:化学</v>
      </c>
      <c r="H25" s="10" t="s">
        <v>19</v>
      </c>
      <c r="I25" s="15" t="s">
        <v>20</v>
      </c>
      <c r="J25" s="13">
        <v>85.97</v>
      </c>
      <c r="K25" s="10">
        <v>5</v>
      </c>
      <c r="L25" s="16"/>
    </row>
    <row r="26" s="4" customFormat="1" ht="33" customHeight="1" spans="1:12">
      <c r="A26" s="10">
        <v>23</v>
      </c>
      <c r="B26" s="10" t="str">
        <f>"李英"</f>
        <v>李英</v>
      </c>
      <c r="C26" s="10" t="str">
        <f>"女        "</f>
        <v>女        </v>
      </c>
      <c r="D26" s="10" t="str">
        <f>"彝族"</f>
        <v>彝族</v>
      </c>
      <c r="E26" s="10" t="str">
        <f>"贵州省大方县猫场镇碧脚村官寨组"</f>
        <v>贵州省大方县猫场镇碧脚村官寨组</v>
      </c>
      <c r="F26" s="10" t="str">
        <f t="shared" si="0"/>
        <v>初中</v>
      </c>
      <c r="G26" s="10" t="str">
        <f t="shared" si="2"/>
        <v>211:化学</v>
      </c>
      <c r="H26" s="10" t="s">
        <v>19</v>
      </c>
      <c r="I26" s="15" t="s">
        <v>20</v>
      </c>
      <c r="J26" s="13">
        <v>85.6</v>
      </c>
      <c r="K26" s="10">
        <v>6</v>
      </c>
      <c r="L26" s="16"/>
    </row>
    <row r="27" s="4" customFormat="1" ht="33" customHeight="1" spans="1:12">
      <c r="A27" s="10">
        <v>24</v>
      </c>
      <c r="B27" s="10" t="str">
        <f>"查兰美"</f>
        <v>查兰美</v>
      </c>
      <c r="C27" s="10" t="str">
        <f>"女        "</f>
        <v>女        </v>
      </c>
      <c r="D27" s="10" t="str">
        <f>"布依族"</f>
        <v>布依族</v>
      </c>
      <c r="E27" s="10" t="str">
        <f>"贵州省兴义市郑屯镇十一组"</f>
        <v>贵州省兴义市郑屯镇十一组</v>
      </c>
      <c r="F27" s="10" t="str">
        <f t="shared" si="0"/>
        <v>初中</v>
      </c>
      <c r="G27" s="10" t="str">
        <f t="shared" si="2"/>
        <v>211:化学</v>
      </c>
      <c r="H27" s="10" t="s">
        <v>19</v>
      </c>
      <c r="I27" s="15" t="s">
        <v>20</v>
      </c>
      <c r="J27" s="13">
        <v>85.38</v>
      </c>
      <c r="K27" s="10">
        <v>7</v>
      </c>
      <c r="L27" s="16"/>
    </row>
    <row r="28" s="4" customFormat="1" ht="33" customHeight="1" spans="1:12">
      <c r="A28" s="10">
        <v>25</v>
      </c>
      <c r="B28" s="10" t="str">
        <f>"班善良"</f>
        <v>班善良</v>
      </c>
      <c r="C28" s="10" t="str">
        <f>"男        "</f>
        <v>男        </v>
      </c>
      <c r="D28" s="10" t="str">
        <f>"壮族"</f>
        <v>壮族</v>
      </c>
      <c r="E28" s="10" t="str">
        <f>"广西隆林各族自治县者浪乡者床村那乾屯019号"</f>
        <v>广西隆林各族自治县者浪乡者床村那乾屯019号</v>
      </c>
      <c r="F28" s="10" t="str">
        <f t="shared" si="0"/>
        <v>初中</v>
      </c>
      <c r="G28" s="10" t="str">
        <f t="shared" si="2"/>
        <v>211:化学</v>
      </c>
      <c r="H28" s="10" t="s">
        <v>19</v>
      </c>
      <c r="I28" s="15" t="s">
        <v>20</v>
      </c>
      <c r="J28" s="13">
        <v>82.94</v>
      </c>
      <c r="K28" s="10">
        <v>8</v>
      </c>
      <c r="L28" s="16"/>
    </row>
    <row r="29" s="4" customFormat="1" ht="33" customHeight="1" spans="1:12">
      <c r="A29" s="10">
        <v>26</v>
      </c>
      <c r="B29" s="10" t="str">
        <f>"陆永快"</f>
        <v>陆永快</v>
      </c>
      <c r="C29" s="10" t="str">
        <f>"女        "</f>
        <v>女        </v>
      </c>
      <c r="D29" s="10" t="str">
        <f>"壮族"</f>
        <v>壮族</v>
      </c>
      <c r="E29" s="10" t="str">
        <f>"广西百色市隆林各族自治县者保乡同福村腊仁屯"</f>
        <v>广西百色市隆林各族自治县者保乡同福村腊仁屯</v>
      </c>
      <c r="F29" s="10" t="str">
        <f t="shared" si="0"/>
        <v>初中</v>
      </c>
      <c r="G29" s="10" t="str">
        <f t="shared" si="2"/>
        <v>211:化学</v>
      </c>
      <c r="H29" s="10" t="s">
        <v>19</v>
      </c>
      <c r="I29" s="15" t="s">
        <v>20</v>
      </c>
      <c r="J29" s="13">
        <v>80.87</v>
      </c>
      <c r="K29" s="10">
        <v>9</v>
      </c>
      <c r="L29" s="16"/>
    </row>
    <row r="30" s="4" customFormat="1" ht="33" customHeight="1" spans="1:12">
      <c r="A30" s="10">
        <v>27</v>
      </c>
      <c r="B30" s="10" t="str">
        <f>"蒋金丽"</f>
        <v>蒋金丽</v>
      </c>
      <c r="C30" s="10" t="str">
        <f>"女        "</f>
        <v>女        </v>
      </c>
      <c r="D30" s="10" t="str">
        <f>"汉族"</f>
        <v>汉族</v>
      </c>
      <c r="E30" s="10" t="str">
        <f>"云南省文山州富宁县"</f>
        <v>云南省文山州富宁县</v>
      </c>
      <c r="F30" s="10" t="str">
        <f t="shared" si="0"/>
        <v>初中</v>
      </c>
      <c r="G30" s="10" t="str">
        <f t="shared" si="2"/>
        <v>211:化学</v>
      </c>
      <c r="H30" s="10" t="s">
        <v>19</v>
      </c>
      <c r="I30" s="15" t="s">
        <v>20</v>
      </c>
      <c r="J30" s="13">
        <v>80.61</v>
      </c>
      <c r="K30" s="10">
        <v>10</v>
      </c>
      <c r="L30" s="16"/>
    </row>
    <row r="31" s="4" customFormat="1" ht="33" customHeight="1" spans="1:12">
      <c r="A31" s="10">
        <v>28</v>
      </c>
      <c r="B31" s="10" t="str">
        <f>"杨秀丽"</f>
        <v>杨秀丽</v>
      </c>
      <c r="C31" s="10" t="str">
        <f>"女        "</f>
        <v>女        </v>
      </c>
      <c r="D31" s="10" t="str">
        <f>"苗族"</f>
        <v>苗族</v>
      </c>
      <c r="E31" s="10" t="str">
        <f>"广西隆林各族自治县德峨乡常么村水井屯"</f>
        <v>广西隆林各族自治县德峨乡常么村水井屯</v>
      </c>
      <c r="F31" s="10" t="str">
        <f t="shared" si="0"/>
        <v>初中</v>
      </c>
      <c r="G31" s="10" t="str">
        <f t="shared" si="2"/>
        <v>211:化学</v>
      </c>
      <c r="H31" s="10" t="s">
        <v>19</v>
      </c>
      <c r="I31" s="15" t="s">
        <v>20</v>
      </c>
      <c r="J31" s="13">
        <v>78.49</v>
      </c>
      <c r="K31" s="10">
        <v>11</v>
      </c>
      <c r="L31" s="16"/>
    </row>
    <row r="32" s="4" customFormat="1" ht="33" customHeight="1" spans="1:12">
      <c r="A32" s="10">
        <v>29</v>
      </c>
      <c r="B32" s="10" t="str">
        <f>"滕仕坤"</f>
        <v>滕仕坤</v>
      </c>
      <c r="C32" s="10" t="str">
        <f>"男        "</f>
        <v>男        </v>
      </c>
      <c r="D32" s="10" t="str">
        <f>"汉族"</f>
        <v>汉族</v>
      </c>
      <c r="E32" s="10" t="str">
        <f>"贵州省黔西南州望谟县打易镇绞朋村"</f>
        <v>贵州省黔西南州望谟县打易镇绞朋村</v>
      </c>
      <c r="F32" s="10" t="str">
        <f t="shared" si="0"/>
        <v>初中</v>
      </c>
      <c r="G32" s="10" t="str">
        <f t="shared" si="2"/>
        <v>211:化学</v>
      </c>
      <c r="H32" s="10" t="s">
        <v>19</v>
      </c>
      <c r="I32" s="15" t="s">
        <v>20</v>
      </c>
      <c r="J32" s="13">
        <v>77.03</v>
      </c>
      <c r="K32" s="10">
        <v>12</v>
      </c>
      <c r="L32" s="16"/>
    </row>
    <row r="33" s="4" customFormat="1" ht="33" customHeight="1" spans="1:12">
      <c r="A33" s="10">
        <v>30</v>
      </c>
      <c r="B33" s="10" t="str">
        <f>"令狐克军"</f>
        <v>令狐克军</v>
      </c>
      <c r="C33" s="10" t="str">
        <f>"男        "</f>
        <v>男        </v>
      </c>
      <c r="D33" s="10" t="str">
        <f>"汉族"</f>
        <v>汉族</v>
      </c>
      <c r="E33" s="10" t="str">
        <f>"广西百色市隆林县金钟山乡平流村那梅屯"</f>
        <v>广西百色市隆林县金钟山乡平流村那梅屯</v>
      </c>
      <c r="F33" s="10" t="str">
        <f t="shared" si="0"/>
        <v>初中</v>
      </c>
      <c r="G33" s="10" t="str">
        <f t="shared" si="2"/>
        <v>211:化学</v>
      </c>
      <c r="H33" s="10" t="s">
        <v>21</v>
      </c>
      <c r="I33" s="15" t="s">
        <v>20</v>
      </c>
      <c r="J33" s="13">
        <v>85.84</v>
      </c>
      <c r="K33" s="14">
        <v>1</v>
      </c>
      <c r="L33" s="16" t="s">
        <v>15</v>
      </c>
    </row>
    <row r="34" s="4" customFormat="1" ht="33" customHeight="1" spans="1:12">
      <c r="A34" s="10">
        <v>31</v>
      </c>
      <c r="B34" s="10" t="str">
        <f>"余泳非"</f>
        <v>余泳非</v>
      </c>
      <c r="C34" s="10" t="str">
        <f>"男        "</f>
        <v>男        </v>
      </c>
      <c r="D34" s="10" t="str">
        <f>"布依族"</f>
        <v>布依族</v>
      </c>
      <c r="E34" s="11" t="s">
        <v>22</v>
      </c>
      <c r="F34" s="10" t="str">
        <f t="shared" si="0"/>
        <v>初中</v>
      </c>
      <c r="G34" s="10" t="str">
        <f t="shared" si="2"/>
        <v>211:化学</v>
      </c>
      <c r="H34" s="10" t="s">
        <v>21</v>
      </c>
      <c r="I34" s="15" t="s">
        <v>20</v>
      </c>
      <c r="J34" s="13">
        <v>82.49</v>
      </c>
      <c r="K34" s="14">
        <v>2</v>
      </c>
      <c r="L34" s="16" t="s">
        <v>15</v>
      </c>
    </row>
    <row r="35" s="4" customFormat="1" ht="33" customHeight="1" spans="1:12">
      <c r="A35" s="10">
        <v>32</v>
      </c>
      <c r="B35" s="10" t="str">
        <f>"于贵州"</f>
        <v>于贵州</v>
      </c>
      <c r="C35" s="10" t="str">
        <f>"男        "</f>
        <v>男        </v>
      </c>
      <c r="D35" s="10" t="str">
        <f>"汉族"</f>
        <v>汉族</v>
      </c>
      <c r="E35" s="10" t="str">
        <f>"贵州省普安县江西坡镇白石村红花湾组"</f>
        <v>贵州省普安县江西坡镇白石村红花湾组</v>
      </c>
      <c r="F35" s="10" t="str">
        <f t="shared" si="0"/>
        <v>初中</v>
      </c>
      <c r="G35" s="10" t="str">
        <f t="shared" si="2"/>
        <v>211:化学</v>
      </c>
      <c r="H35" s="10" t="s">
        <v>21</v>
      </c>
      <c r="I35" s="15" t="s">
        <v>20</v>
      </c>
      <c r="J35" s="13">
        <v>82</v>
      </c>
      <c r="K35" s="10">
        <v>3</v>
      </c>
      <c r="L35" s="16"/>
    </row>
    <row r="36" s="4" customFormat="1" ht="33" customHeight="1" spans="1:12">
      <c r="A36" s="10">
        <v>33</v>
      </c>
      <c r="B36" s="10" t="str">
        <f>"许明辉"</f>
        <v>许明辉</v>
      </c>
      <c r="C36" s="10" t="str">
        <f>"男        "</f>
        <v>男        </v>
      </c>
      <c r="D36" s="10" t="str">
        <f>"壮族"</f>
        <v>壮族</v>
      </c>
      <c r="E36" s="10" t="str">
        <f>"广西靖西市禄峒镇怀利村劳屯60号"</f>
        <v>广西靖西市禄峒镇怀利村劳屯60号</v>
      </c>
      <c r="F36" s="10" t="str">
        <f t="shared" ref="F36:F67" si="3">"初中"</f>
        <v>初中</v>
      </c>
      <c r="G36" s="10" t="str">
        <f t="shared" si="2"/>
        <v>211:化学</v>
      </c>
      <c r="H36" s="10" t="s">
        <v>21</v>
      </c>
      <c r="I36" s="15" t="s">
        <v>20</v>
      </c>
      <c r="J36" s="13">
        <v>81.58</v>
      </c>
      <c r="K36" s="10">
        <v>4</v>
      </c>
      <c r="L36" s="16"/>
    </row>
    <row r="37" s="4" customFormat="1" ht="33" customHeight="1" spans="1:12">
      <c r="A37" s="10">
        <v>34</v>
      </c>
      <c r="B37" s="10" t="str">
        <f>"黄彩调"</f>
        <v>黄彩调</v>
      </c>
      <c r="C37" s="10" t="str">
        <f>"女        "</f>
        <v>女        </v>
      </c>
      <c r="D37" s="10" t="str">
        <f>"壮族"</f>
        <v>壮族</v>
      </c>
      <c r="E37" s="10" t="str">
        <f>"广西壮族自治区隆林各族自治县新州镇民福村廷弄屯018号"</f>
        <v>广西壮族自治区隆林各族自治县新州镇民福村廷弄屯018号</v>
      </c>
      <c r="F37" s="10" t="str">
        <f t="shared" si="3"/>
        <v>初中</v>
      </c>
      <c r="G37" s="10" t="str">
        <f t="shared" si="2"/>
        <v>211:化学</v>
      </c>
      <c r="H37" s="10" t="s">
        <v>21</v>
      </c>
      <c r="I37" s="15" t="s">
        <v>20</v>
      </c>
      <c r="J37" s="13">
        <v>75.22</v>
      </c>
      <c r="K37" s="10">
        <v>5</v>
      </c>
      <c r="L37" s="16"/>
    </row>
    <row r="38" s="4" customFormat="1" ht="33" customHeight="1" spans="1:12">
      <c r="A38" s="10">
        <v>35</v>
      </c>
      <c r="B38" s="10" t="str">
        <f>"王海燕"</f>
        <v>王海燕</v>
      </c>
      <c r="C38" s="10" t="str">
        <f>"女        "</f>
        <v>女        </v>
      </c>
      <c r="D38" s="10" t="str">
        <f>"回族"</f>
        <v>回族</v>
      </c>
      <c r="E38" s="10" t="str">
        <f>"贵州省威宁县中水镇"</f>
        <v>贵州省威宁县中水镇</v>
      </c>
      <c r="F38" s="10" t="str">
        <f t="shared" si="3"/>
        <v>初中</v>
      </c>
      <c r="G38" s="10" t="str">
        <f t="shared" si="2"/>
        <v>211:化学</v>
      </c>
      <c r="H38" s="10" t="s">
        <v>21</v>
      </c>
      <c r="I38" s="15" t="s">
        <v>20</v>
      </c>
      <c r="J38" s="17" t="s">
        <v>18</v>
      </c>
      <c r="K38" s="10">
        <v>6</v>
      </c>
      <c r="L38" s="16"/>
    </row>
    <row r="39" s="4" customFormat="1" ht="33" customHeight="1" spans="1:12">
      <c r="A39" s="10">
        <v>36</v>
      </c>
      <c r="B39" s="10" t="str">
        <f>"徐秀月"</f>
        <v>徐秀月</v>
      </c>
      <c r="C39" s="10" t="str">
        <f>"女        "</f>
        <v>女        </v>
      </c>
      <c r="D39" s="10" t="str">
        <f>"汉族"</f>
        <v>汉族</v>
      </c>
      <c r="E39" s="10" t="str">
        <f>"云南省曲靖市沾益区大坡乡新庄村委会布里村"</f>
        <v>云南省曲靖市沾益区大坡乡新庄村委会布里村</v>
      </c>
      <c r="F39" s="10" t="str">
        <f t="shared" si="3"/>
        <v>初中</v>
      </c>
      <c r="G39" s="10" t="str">
        <f t="shared" si="2"/>
        <v>211:化学</v>
      </c>
      <c r="H39" s="10" t="s">
        <v>23</v>
      </c>
      <c r="I39" s="15" t="s">
        <v>20</v>
      </c>
      <c r="J39" s="13">
        <v>85.11</v>
      </c>
      <c r="K39" s="14">
        <v>1</v>
      </c>
      <c r="L39" s="16" t="s">
        <v>15</v>
      </c>
    </row>
    <row r="40" s="4" customFormat="1" ht="33" customHeight="1" spans="1:12">
      <c r="A40" s="10">
        <v>37</v>
      </c>
      <c r="B40" s="10" t="str">
        <f>"杨家艳"</f>
        <v>杨家艳</v>
      </c>
      <c r="C40" s="10" t="str">
        <f>"女        "</f>
        <v>女        </v>
      </c>
      <c r="D40" s="10" t="str">
        <f>"汉族"</f>
        <v>汉族</v>
      </c>
      <c r="E40" s="10" t="str">
        <f>"贵州省兴仁县回龙镇落水洞村立山二组"</f>
        <v>贵州省兴仁县回龙镇落水洞村立山二组</v>
      </c>
      <c r="F40" s="10" t="str">
        <f t="shared" si="3"/>
        <v>初中</v>
      </c>
      <c r="G40" s="10" t="str">
        <f t="shared" si="2"/>
        <v>211:化学</v>
      </c>
      <c r="H40" s="10" t="s">
        <v>23</v>
      </c>
      <c r="I40" s="15" t="s">
        <v>20</v>
      </c>
      <c r="J40" s="13">
        <v>84.26</v>
      </c>
      <c r="K40" s="10">
        <v>2</v>
      </c>
      <c r="L40" s="16"/>
    </row>
    <row r="41" s="4" customFormat="1" ht="33" customHeight="1" spans="1:12">
      <c r="A41" s="10">
        <v>38</v>
      </c>
      <c r="B41" s="10" t="str">
        <f>"张军"</f>
        <v>张军</v>
      </c>
      <c r="C41" s="10" t="str">
        <f>"男        "</f>
        <v>男        </v>
      </c>
      <c r="D41" s="10" t="str">
        <f>"汉族"</f>
        <v>汉族</v>
      </c>
      <c r="E41" s="10" t="str">
        <f>"云南省昭通市盐津县滩头乡花秋村"</f>
        <v>云南省昭通市盐津县滩头乡花秋村</v>
      </c>
      <c r="F41" s="10" t="str">
        <f t="shared" si="3"/>
        <v>初中</v>
      </c>
      <c r="G41" s="10" t="str">
        <f t="shared" si="2"/>
        <v>211:化学</v>
      </c>
      <c r="H41" s="10" t="s">
        <v>23</v>
      </c>
      <c r="I41" s="15" t="s">
        <v>20</v>
      </c>
      <c r="J41" s="13">
        <v>83.58</v>
      </c>
      <c r="K41" s="10">
        <v>3</v>
      </c>
      <c r="L41" s="16"/>
    </row>
    <row r="42" s="4" customFormat="1" ht="33" customHeight="1" spans="1:12">
      <c r="A42" s="10">
        <v>39</v>
      </c>
      <c r="B42" s="10" t="str">
        <f>"覃堂"</f>
        <v>覃堂</v>
      </c>
      <c r="C42" s="10" t="str">
        <f>"男        "</f>
        <v>男        </v>
      </c>
      <c r="D42" s="10" t="str">
        <f>"壮族"</f>
        <v>壮族</v>
      </c>
      <c r="E42" s="10" t="str">
        <f>"广西百色市隆林各族自治县岩茶乡平班村坝卡屯23号"</f>
        <v>广西百色市隆林各族自治县岩茶乡平班村坝卡屯23号</v>
      </c>
      <c r="F42" s="10" t="str">
        <f t="shared" si="3"/>
        <v>初中</v>
      </c>
      <c r="G42" s="10" t="str">
        <f t="shared" si="2"/>
        <v>211:化学</v>
      </c>
      <c r="H42" s="10" t="s">
        <v>23</v>
      </c>
      <c r="I42" s="15" t="s">
        <v>20</v>
      </c>
      <c r="J42" s="13">
        <v>82.59</v>
      </c>
      <c r="K42" s="10">
        <v>4</v>
      </c>
      <c r="L42" s="16"/>
    </row>
    <row r="43" s="4" customFormat="1" ht="33" customHeight="1" spans="1:12">
      <c r="A43" s="10">
        <v>40</v>
      </c>
      <c r="B43" s="10" t="str">
        <f>"谢海霞"</f>
        <v>谢海霞</v>
      </c>
      <c r="C43" s="10" t="str">
        <f>"女        "</f>
        <v>女        </v>
      </c>
      <c r="D43" s="10" t="str">
        <f>"汉族"</f>
        <v>汉族</v>
      </c>
      <c r="E43" s="10" t="str">
        <f>"云南省曲靖市陆良县马街镇金家村一社"</f>
        <v>云南省曲靖市陆良县马街镇金家村一社</v>
      </c>
      <c r="F43" s="10" t="str">
        <f t="shared" si="3"/>
        <v>初中</v>
      </c>
      <c r="G43" s="10" t="str">
        <f t="shared" si="2"/>
        <v>211:化学</v>
      </c>
      <c r="H43" s="10" t="s">
        <v>23</v>
      </c>
      <c r="I43" s="15" t="s">
        <v>20</v>
      </c>
      <c r="J43" s="13">
        <v>82.38</v>
      </c>
      <c r="K43" s="10">
        <v>5</v>
      </c>
      <c r="L43" s="16"/>
    </row>
    <row r="44" s="4" customFormat="1" ht="33" customHeight="1" spans="1:12">
      <c r="A44" s="10">
        <v>41</v>
      </c>
      <c r="B44" s="10" t="str">
        <f>"王孝洪"</f>
        <v>王孝洪</v>
      </c>
      <c r="C44" s="10" t="str">
        <f>"男        "</f>
        <v>男        </v>
      </c>
      <c r="D44" s="10" t="str">
        <f>"汉族"</f>
        <v>汉族</v>
      </c>
      <c r="E44" s="10" t="str">
        <f>"贵州省兴仁县大山镇高寨村潘家山组11号"</f>
        <v>贵州省兴仁县大山镇高寨村潘家山组11号</v>
      </c>
      <c r="F44" s="10" t="str">
        <f t="shared" si="3"/>
        <v>初中</v>
      </c>
      <c r="G44" s="10" t="str">
        <f t="shared" si="2"/>
        <v>211:化学</v>
      </c>
      <c r="H44" s="10" t="s">
        <v>23</v>
      </c>
      <c r="I44" s="15" t="s">
        <v>20</v>
      </c>
      <c r="J44" s="13">
        <v>81.85</v>
      </c>
      <c r="K44" s="10">
        <v>6</v>
      </c>
      <c r="L44" s="16"/>
    </row>
    <row r="45" s="4" customFormat="1" ht="33" customHeight="1" spans="1:12">
      <c r="A45" s="10">
        <v>42</v>
      </c>
      <c r="B45" s="10" t="str">
        <f>"黄晓芳"</f>
        <v>黄晓芳</v>
      </c>
      <c r="C45" s="10" t="str">
        <f>"女        "</f>
        <v>女        </v>
      </c>
      <c r="D45" s="10" t="str">
        <f>"壮族"</f>
        <v>壮族</v>
      </c>
      <c r="E45" s="10" t="str">
        <f>"广西百色市靖西市南坡乡明学村果巴屯11号"</f>
        <v>广西百色市靖西市南坡乡明学村果巴屯11号</v>
      </c>
      <c r="F45" s="10" t="str">
        <f t="shared" si="3"/>
        <v>初中</v>
      </c>
      <c r="G45" s="10" t="str">
        <f t="shared" si="2"/>
        <v>211:化学</v>
      </c>
      <c r="H45" s="10" t="s">
        <v>24</v>
      </c>
      <c r="I45" s="15" t="s">
        <v>20</v>
      </c>
      <c r="J45" s="13">
        <v>85.77</v>
      </c>
      <c r="K45" s="14">
        <v>1</v>
      </c>
      <c r="L45" s="16" t="s">
        <v>15</v>
      </c>
    </row>
    <row r="46" s="4" customFormat="1" ht="33" customHeight="1" spans="1:12">
      <c r="A46" s="10">
        <v>43</v>
      </c>
      <c r="B46" s="10" t="str">
        <f>"王孝贞"</f>
        <v>王孝贞</v>
      </c>
      <c r="C46" s="10" t="str">
        <f>"女        "</f>
        <v>女        </v>
      </c>
      <c r="D46" s="10" t="str">
        <f t="shared" ref="D46:D53" si="4">"汉族"</f>
        <v>汉族</v>
      </c>
      <c r="E46" s="10" t="str">
        <f>"贵州省兴仁县大山镇高寨村潘家山组"</f>
        <v>贵州省兴仁县大山镇高寨村潘家山组</v>
      </c>
      <c r="F46" s="10" t="str">
        <f t="shared" si="3"/>
        <v>初中</v>
      </c>
      <c r="G46" s="10" t="str">
        <f t="shared" si="2"/>
        <v>211:化学</v>
      </c>
      <c r="H46" s="10" t="s">
        <v>24</v>
      </c>
      <c r="I46" s="15" t="s">
        <v>20</v>
      </c>
      <c r="J46" s="13">
        <v>84.72</v>
      </c>
      <c r="K46" s="10">
        <v>2</v>
      </c>
      <c r="L46" s="16"/>
    </row>
    <row r="47" s="4" customFormat="1" ht="33" customHeight="1" spans="1:12">
      <c r="A47" s="10">
        <v>44</v>
      </c>
      <c r="B47" s="10" t="str">
        <f>"黄飞"</f>
        <v>黄飞</v>
      </c>
      <c r="C47" s="10" t="str">
        <f>"男        "</f>
        <v>男        </v>
      </c>
      <c r="D47" s="10" t="str">
        <f t="shared" si="4"/>
        <v>汉族</v>
      </c>
      <c r="E47" s="10" t="str">
        <f>"云南省广南县莲城镇龙进社区红泥冲小组"</f>
        <v>云南省广南县莲城镇龙进社区红泥冲小组</v>
      </c>
      <c r="F47" s="10" t="str">
        <f t="shared" si="3"/>
        <v>初中</v>
      </c>
      <c r="G47" s="10" t="str">
        <f t="shared" si="2"/>
        <v>211:化学</v>
      </c>
      <c r="H47" s="10" t="s">
        <v>24</v>
      </c>
      <c r="I47" s="15" t="s">
        <v>20</v>
      </c>
      <c r="J47" s="13">
        <v>84.5</v>
      </c>
      <c r="K47" s="10">
        <v>3</v>
      </c>
      <c r="L47" s="16"/>
    </row>
    <row r="48" s="4" customFormat="1" ht="33" customHeight="1" spans="1:12">
      <c r="A48" s="10">
        <v>45</v>
      </c>
      <c r="B48" s="10" t="str">
        <f>"赵文丽"</f>
        <v>赵文丽</v>
      </c>
      <c r="C48" s="10" t="str">
        <f>"女        "</f>
        <v>女        </v>
      </c>
      <c r="D48" s="10" t="str">
        <f t="shared" si="4"/>
        <v>汉族</v>
      </c>
      <c r="E48" s="10" t="str">
        <f>"云南省曲靖市沾益县"</f>
        <v>云南省曲靖市沾益县</v>
      </c>
      <c r="F48" s="10" t="str">
        <f t="shared" si="3"/>
        <v>初中</v>
      </c>
      <c r="G48" s="10" t="str">
        <f t="shared" si="2"/>
        <v>211:化学</v>
      </c>
      <c r="H48" s="10" t="s">
        <v>24</v>
      </c>
      <c r="I48" s="15" t="s">
        <v>20</v>
      </c>
      <c r="J48" s="13">
        <v>83.81</v>
      </c>
      <c r="K48" s="10">
        <v>4</v>
      </c>
      <c r="L48" s="16"/>
    </row>
    <row r="49" s="4" customFormat="1" ht="33" customHeight="1" spans="1:12">
      <c r="A49" s="10">
        <v>46</v>
      </c>
      <c r="B49" s="10" t="str">
        <f>"付国友"</f>
        <v>付国友</v>
      </c>
      <c r="C49" s="10" t="str">
        <f>"男        "</f>
        <v>男        </v>
      </c>
      <c r="D49" s="10" t="str">
        <f t="shared" si="4"/>
        <v>汉族</v>
      </c>
      <c r="E49" s="10" t="str">
        <f>"贵州省毕节市织金县绮陌乡中营村街上组"</f>
        <v>贵州省毕节市织金县绮陌乡中营村街上组</v>
      </c>
      <c r="F49" s="10" t="str">
        <f t="shared" si="3"/>
        <v>初中</v>
      </c>
      <c r="G49" s="10" t="str">
        <f t="shared" si="2"/>
        <v>211:化学</v>
      </c>
      <c r="H49" s="10" t="s">
        <v>24</v>
      </c>
      <c r="I49" s="15" t="s">
        <v>20</v>
      </c>
      <c r="J49" s="13">
        <v>81.33</v>
      </c>
      <c r="K49" s="10">
        <v>5</v>
      </c>
      <c r="L49" s="16"/>
    </row>
    <row r="50" s="4" customFormat="1" ht="33" customHeight="1" spans="1:12">
      <c r="A50" s="10">
        <v>47</v>
      </c>
      <c r="B50" s="10" t="str">
        <f>"覃德江"</f>
        <v>覃德江</v>
      </c>
      <c r="C50" s="10" t="str">
        <f>"男        "</f>
        <v>男        </v>
      </c>
      <c r="D50" s="10" t="str">
        <f t="shared" si="4"/>
        <v>汉族</v>
      </c>
      <c r="E50" s="10" t="str">
        <f>"贵州省兴仁县马马崖镇"</f>
        <v>贵州省兴仁县马马崖镇</v>
      </c>
      <c r="F50" s="10" t="str">
        <f t="shared" si="3"/>
        <v>初中</v>
      </c>
      <c r="G50" s="10" t="str">
        <f t="shared" si="2"/>
        <v>211:化学</v>
      </c>
      <c r="H50" s="10" t="s">
        <v>24</v>
      </c>
      <c r="I50" s="15" t="s">
        <v>20</v>
      </c>
      <c r="J50" s="13">
        <v>80.6</v>
      </c>
      <c r="K50" s="10">
        <v>6</v>
      </c>
      <c r="L50" s="16"/>
    </row>
    <row r="51" s="4" customFormat="1" ht="33" customHeight="1" spans="1:12">
      <c r="A51" s="10">
        <v>48</v>
      </c>
      <c r="B51" s="10" t="str">
        <f>"杨琴"</f>
        <v>杨琴</v>
      </c>
      <c r="C51" s="10" t="str">
        <f>"女        "</f>
        <v>女        </v>
      </c>
      <c r="D51" s="10" t="str">
        <f t="shared" si="4"/>
        <v>汉族</v>
      </c>
      <c r="E51" s="10" t="str">
        <f>"广西百色市隆林各族自治县桠杈镇生基湾村毛家坡屯"</f>
        <v>广西百色市隆林各族自治县桠杈镇生基湾村毛家坡屯</v>
      </c>
      <c r="F51" s="10" t="str">
        <f t="shared" si="3"/>
        <v>初中</v>
      </c>
      <c r="G51" s="10" t="str">
        <f t="shared" si="2"/>
        <v>211:化学</v>
      </c>
      <c r="H51" s="10" t="s">
        <v>24</v>
      </c>
      <c r="I51" s="15" t="s">
        <v>20</v>
      </c>
      <c r="J51" s="13">
        <v>79.12</v>
      </c>
      <c r="K51" s="10">
        <v>7</v>
      </c>
      <c r="L51" s="16"/>
    </row>
    <row r="52" s="4" customFormat="1" ht="33" customHeight="1" spans="1:12">
      <c r="A52" s="10">
        <v>49</v>
      </c>
      <c r="B52" s="10" t="str">
        <f>"秦莉"</f>
        <v>秦莉</v>
      </c>
      <c r="C52" s="10" t="str">
        <f>"女        "</f>
        <v>女        </v>
      </c>
      <c r="D52" s="10" t="str">
        <f t="shared" si="4"/>
        <v>汉族</v>
      </c>
      <c r="E52" s="10" t="str">
        <f>"云南省昭通市威信县罗布镇罗布村苟家山村民小组3号"</f>
        <v>云南省昭通市威信县罗布镇罗布村苟家山村民小组3号</v>
      </c>
      <c r="F52" s="10" t="str">
        <f t="shared" si="3"/>
        <v>初中</v>
      </c>
      <c r="G52" s="10" t="str">
        <f t="shared" si="2"/>
        <v>211:化学</v>
      </c>
      <c r="H52" s="10" t="s">
        <v>24</v>
      </c>
      <c r="I52" s="15" t="s">
        <v>20</v>
      </c>
      <c r="J52" s="17" t="s">
        <v>18</v>
      </c>
      <c r="K52" s="10">
        <v>8</v>
      </c>
      <c r="L52" s="16"/>
    </row>
    <row r="53" s="4" customFormat="1" ht="33" customHeight="1" spans="1:12">
      <c r="A53" s="10">
        <v>50</v>
      </c>
      <c r="B53" s="10" t="str">
        <f>"林枷吕"</f>
        <v>林枷吕</v>
      </c>
      <c r="C53" s="10" t="str">
        <f>"男        "</f>
        <v>男        </v>
      </c>
      <c r="D53" s="10" t="str">
        <f t="shared" si="4"/>
        <v>汉族</v>
      </c>
      <c r="E53" s="10" t="str">
        <f>"广西省百色市隆林各族自治县蛇场乡同党村大竹林屯19号"</f>
        <v>广西省百色市隆林各族自治县蛇场乡同党村大竹林屯19号</v>
      </c>
      <c r="F53" s="10" t="str">
        <f t="shared" si="3"/>
        <v>初中</v>
      </c>
      <c r="G53" s="10" t="str">
        <f t="shared" ref="G53:G77" si="5">"212:体育"</f>
        <v>212:体育</v>
      </c>
      <c r="H53" s="10"/>
      <c r="I53" s="9" t="s">
        <v>25</v>
      </c>
      <c r="J53" s="13">
        <v>86.34</v>
      </c>
      <c r="K53" s="14">
        <v>1</v>
      </c>
      <c r="L53" s="16" t="s">
        <v>15</v>
      </c>
    </row>
    <row r="54" s="4" customFormat="1" ht="33" customHeight="1" spans="1:12">
      <c r="A54" s="10">
        <v>51</v>
      </c>
      <c r="B54" s="10" t="str">
        <f>"蒙希"</f>
        <v>蒙希</v>
      </c>
      <c r="C54" s="10" t="str">
        <f>"女        "</f>
        <v>女        </v>
      </c>
      <c r="D54" s="10" t="str">
        <f>"壮族"</f>
        <v>壮族</v>
      </c>
      <c r="E54" s="10" t="str">
        <f>"广西百色市西林县八达镇那卡村"</f>
        <v>广西百色市西林县八达镇那卡村</v>
      </c>
      <c r="F54" s="10" t="str">
        <f t="shared" si="3"/>
        <v>初中</v>
      </c>
      <c r="G54" s="10" t="str">
        <f t="shared" si="5"/>
        <v>212:体育</v>
      </c>
      <c r="H54" s="10"/>
      <c r="I54" s="9" t="s">
        <v>25</v>
      </c>
      <c r="J54" s="13">
        <v>86.3</v>
      </c>
      <c r="K54" s="14">
        <v>2</v>
      </c>
      <c r="L54" s="16" t="s">
        <v>15</v>
      </c>
    </row>
    <row r="55" s="4" customFormat="1" ht="33" customHeight="1" spans="1:12">
      <c r="A55" s="10">
        <v>52</v>
      </c>
      <c r="B55" s="10" t="str">
        <f>"马贤飞"</f>
        <v>马贤飞</v>
      </c>
      <c r="C55" s="10" t="str">
        <f t="shared" ref="C55:C60" si="6">"男        "</f>
        <v>男        </v>
      </c>
      <c r="D55" s="10" t="str">
        <f>"汉族"</f>
        <v>汉族</v>
      </c>
      <c r="E55" s="10" t="str">
        <f>"贵州省兴义市鲁布格镇"</f>
        <v>贵州省兴义市鲁布格镇</v>
      </c>
      <c r="F55" s="10" t="str">
        <f t="shared" si="3"/>
        <v>初中</v>
      </c>
      <c r="G55" s="10" t="str">
        <f t="shared" si="5"/>
        <v>212:体育</v>
      </c>
      <c r="H55" s="10"/>
      <c r="I55" s="9" t="s">
        <v>25</v>
      </c>
      <c r="J55" s="13">
        <v>86.22</v>
      </c>
      <c r="K55" s="14">
        <v>3</v>
      </c>
      <c r="L55" s="16" t="s">
        <v>15</v>
      </c>
    </row>
    <row r="56" s="4" customFormat="1" ht="33" customHeight="1" spans="1:12">
      <c r="A56" s="10">
        <v>53</v>
      </c>
      <c r="B56" s="10" t="str">
        <f>"阮成东"</f>
        <v>阮成东</v>
      </c>
      <c r="C56" s="10" t="str">
        <f t="shared" si="6"/>
        <v>男        </v>
      </c>
      <c r="D56" s="10" t="str">
        <f>"汉族"</f>
        <v>汉族</v>
      </c>
      <c r="E56" s="10" t="str">
        <f>"广西隆林各族自治县隆或乡打兰村沙地屯008号"</f>
        <v>广西隆林各族自治县隆或乡打兰村沙地屯008号</v>
      </c>
      <c r="F56" s="10" t="str">
        <f t="shared" si="3"/>
        <v>初中</v>
      </c>
      <c r="G56" s="10" t="str">
        <f t="shared" si="5"/>
        <v>212:体育</v>
      </c>
      <c r="H56" s="10"/>
      <c r="I56" s="9" t="s">
        <v>25</v>
      </c>
      <c r="J56" s="13">
        <v>85.98</v>
      </c>
      <c r="K56" s="14">
        <v>4</v>
      </c>
      <c r="L56" s="16" t="s">
        <v>15</v>
      </c>
    </row>
    <row r="57" s="4" customFormat="1" ht="33" customHeight="1" spans="1:12">
      <c r="A57" s="10">
        <v>54</v>
      </c>
      <c r="B57" s="10" t="str">
        <f>"朱万林"</f>
        <v>朱万林</v>
      </c>
      <c r="C57" s="10" t="str">
        <f t="shared" si="6"/>
        <v>男        </v>
      </c>
      <c r="D57" s="10" t="str">
        <f>"汉族"</f>
        <v>汉族</v>
      </c>
      <c r="E57" s="10" t="str">
        <f>"贵州省兴仁县巴铃镇易家寨村易九组20号"</f>
        <v>贵州省兴仁县巴铃镇易家寨村易九组20号</v>
      </c>
      <c r="F57" s="10" t="str">
        <f t="shared" si="3"/>
        <v>初中</v>
      </c>
      <c r="G57" s="10" t="str">
        <f t="shared" si="5"/>
        <v>212:体育</v>
      </c>
      <c r="H57" s="10"/>
      <c r="I57" s="9" t="s">
        <v>25</v>
      </c>
      <c r="J57" s="13">
        <v>85.84</v>
      </c>
      <c r="K57" s="14">
        <v>5</v>
      </c>
      <c r="L57" s="16" t="s">
        <v>15</v>
      </c>
    </row>
    <row r="58" s="4" customFormat="1" ht="33" customHeight="1" spans="1:12">
      <c r="A58" s="10">
        <v>55</v>
      </c>
      <c r="B58" s="10" t="str">
        <f>"李成全"</f>
        <v>李成全</v>
      </c>
      <c r="C58" s="10" t="str">
        <f t="shared" si="6"/>
        <v>男        </v>
      </c>
      <c r="D58" s="10" t="str">
        <f>"布依族"</f>
        <v>布依族</v>
      </c>
      <c r="E58" s="10" t="str">
        <f>"贵州省安龙县戈塘镇这磨村河边组"</f>
        <v>贵州省安龙县戈塘镇这磨村河边组</v>
      </c>
      <c r="F58" s="10" t="str">
        <f t="shared" si="3"/>
        <v>初中</v>
      </c>
      <c r="G58" s="10" t="str">
        <f t="shared" si="5"/>
        <v>212:体育</v>
      </c>
      <c r="H58" s="10"/>
      <c r="I58" s="9" t="s">
        <v>25</v>
      </c>
      <c r="J58" s="13">
        <v>85.08</v>
      </c>
      <c r="K58" s="10">
        <v>6</v>
      </c>
      <c r="L58" s="16"/>
    </row>
    <row r="59" s="4" customFormat="1" ht="33" customHeight="1" spans="1:12">
      <c r="A59" s="10">
        <v>56</v>
      </c>
      <c r="B59" s="10" t="str">
        <f>"彭界明"</f>
        <v>彭界明</v>
      </c>
      <c r="C59" s="10" t="str">
        <f t="shared" si="6"/>
        <v>男        </v>
      </c>
      <c r="D59" s="10" t="str">
        <f>"汉族"</f>
        <v>汉族</v>
      </c>
      <c r="E59" s="10" t="str">
        <f>"贵州省安龙县木咱镇坝力村一组41号"</f>
        <v>贵州省安龙县木咱镇坝力村一组41号</v>
      </c>
      <c r="F59" s="10" t="str">
        <f t="shared" si="3"/>
        <v>初中</v>
      </c>
      <c r="G59" s="10" t="str">
        <f t="shared" si="5"/>
        <v>212:体育</v>
      </c>
      <c r="H59" s="10"/>
      <c r="I59" s="9" t="s">
        <v>25</v>
      </c>
      <c r="J59" s="13">
        <v>84.62</v>
      </c>
      <c r="K59" s="10">
        <v>7</v>
      </c>
      <c r="L59" s="16"/>
    </row>
    <row r="60" s="4" customFormat="1" ht="33" customHeight="1" spans="1:12">
      <c r="A60" s="10">
        <v>57</v>
      </c>
      <c r="B60" s="10" t="str">
        <f>"余万泽"</f>
        <v>余万泽</v>
      </c>
      <c r="C60" s="10" t="str">
        <f t="shared" si="6"/>
        <v>男        </v>
      </c>
      <c r="D60" s="10" t="str">
        <f>"汉族"</f>
        <v>汉族</v>
      </c>
      <c r="E60" s="10" t="str">
        <f>"贵州省安龙县洒雨镇"</f>
        <v>贵州省安龙县洒雨镇</v>
      </c>
      <c r="F60" s="10" t="str">
        <f t="shared" si="3"/>
        <v>初中</v>
      </c>
      <c r="G60" s="10" t="str">
        <f t="shared" si="5"/>
        <v>212:体育</v>
      </c>
      <c r="H60" s="10"/>
      <c r="I60" s="9" t="s">
        <v>25</v>
      </c>
      <c r="J60" s="13">
        <v>84.46</v>
      </c>
      <c r="K60" s="10">
        <v>8</v>
      </c>
      <c r="L60" s="16"/>
    </row>
    <row r="61" s="4" customFormat="1" ht="33" customHeight="1" spans="1:12">
      <c r="A61" s="10">
        <v>58</v>
      </c>
      <c r="B61" s="10" t="str">
        <f>"黄廷婷"</f>
        <v>黄廷婷</v>
      </c>
      <c r="C61" s="10" t="str">
        <f>"女        "</f>
        <v>女        </v>
      </c>
      <c r="D61" s="10" t="str">
        <f>"布依族"</f>
        <v>布依族</v>
      </c>
      <c r="E61" s="10" t="str">
        <f>"贵州省册亨县丫他镇海子村大寨组"</f>
        <v>贵州省册亨县丫他镇海子村大寨组</v>
      </c>
      <c r="F61" s="10" t="str">
        <f t="shared" si="3"/>
        <v>初中</v>
      </c>
      <c r="G61" s="10" t="str">
        <f t="shared" si="5"/>
        <v>212:体育</v>
      </c>
      <c r="H61" s="10"/>
      <c r="I61" s="9" t="s">
        <v>25</v>
      </c>
      <c r="J61" s="13">
        <v>84.26</v>
      </c>
      <c r="K61" s="10">
        <v>9</v>
      </c>
      <c r="L61" s="16"/>
    </row>
    <row r="62" s="4" customFormat="1" ht="33" customHeight="1" spans="1:12">
      <c r="A62" s="10">
        <v>59</v>
      </c>
      <c r="B62" s="10" t="str">
        <f>"王幹"</f>
        <v>王幹</v>
      </c>
      <c r="C62" s="10" t="str">
        <f>"男        "</f>
        <v>男        </v>
      </c>
      <c r="D62" s="10" t="str">
        <f>"哈尼族"</f>
        <v>哈尼族</v>
      </c>
      <c r="E62" s="10" t="str">
        <f>"云南普洱墨江"</f>
        <v>云南普洱墨江</v>
      </c>
      <c r="F62" s="10" t="str">
        <f t="shared" si="3"/>
        <v>初中</v>
      </c>
      <c r="G62" s="10" t="str">
        <f t="shared" si="5"/>
        <v>212:体育</v>
      </c>
      <c r="H62" s="10"/>
      <c r="I62" s="9" t="s">
        <v>25</v>
      </c>
      <c r="J62" s="13">
        <v>83.74</v>
      </c>
      <c r="K62" s="10">
        <v>10</v>
      </c>
      <c r="L62" s="16"/>
    </row>
    <row r="63" s="4" customFormat="1" ht="33" customHeight="1" spans="1:12">
      <c r="A63" s="10">
        <v>60</v>
      </c>
      <c r="B63" s="10" t="str">
        <f>"张安建"</f>
        <v>张安建</v>
      </c>
      <c r="C63" s="10" t="str">
        <f>"男        "</f>
        <v>男        </v>
      </c>
      <c r="D63" s="10" t="str">
        <f>"汉族"</f>
        <v>汉族</v>
      </c>
      <c r="E63" s="10" t="str">
        <f>"贵州省兴仁县雨樟镇上坝田村上坝田组35号"</f>
        <v>贵州省兴仁县雨樟镇上坝田村上坝田组35号</v>
      </c>
      <c r="F63" s="10" t="str">
        <f t="shared" si="3"/>
        <v>初中</v>
      </c>
      <c r="G63" s="10" t="str">
        <f t="shared" si="5"/>
        <v>212:体育</v>
      </c>
      <c r="H63" s="10"/>
      <c r="I63" s="9" t="s">
        <v>25</v>
      </c>
      <c r="J63" s="13">
        <v>83.18</v>
      </c>
      <c r="K63" s="10">
        <v>11</v>
      </c>
      <c r="L63" s="16"/>
    </row>
    <row r="64" s="4" customFormat="1" ht="33" customHeight="1" spans="1:12">
      <c r="A64" s="10">
        <v>61</v>
      </c>
      <c r="B64" s="10" t="str">
        <f>"赵刚"</f>
        <v>赵刚</v>
      </c>
      <c r="C64" s="10" t="str">
        <f>"男        "</f>
        <v>男        </v>
      </c>
      <c r="D64" s="10" t="str">
        <f>"汉族"</f>
        <v>汉族</v>
      </c>
      <c r="E64" s="10" t="str">
        <f>"贵州省普安县地瓜镇孔家寨村下组"</f>
        <v>贵州省普安县地瓜镇孔家寨村下组</v>
      </c>
      <c r="F64" s="10" t="str">
        <f t="shared" si="3"/>
        <v>初中</v>
      </c>
      <c r="G64" s="10" t="str">
        <f t="shared" si="5"/>
        <v>212:体育</v>
      </c>
      <c r="H64" s="10"/>
      <c r="I64" s="9" t="s">
        <v>25</v>
      </c>
      <c r="J64" s="13">
        <v>82.78</v>
      </c>
      <c r="K64" s="10">
        <v>12</v>
      </c>
      <c r="L64" s="16"/>
    </row>
    <row r="65" s="4" customFormat="1" ht="33" customHeight="1" spans="1:12">
      <c r="A65" s="10">
        <v>62</v>
      </c>
      <c r="B65" s="10" t="str">
        <f>"邱宗友"</f>
        <v>邱宗友</v>
      </c>
      <c r="C65" s="10" t="str">
        <f>"男        "</f>
        <v>男        </v>
      </c>
      <c r="D65" s="10" t="str">
        <f>"彝族"</f>
        <v>彝族</v>
      </c>
      <c r="E65" s="10" t="str">
        <f>"贵州省兴仁县马马崖镇金钟村三组"</f>
        <v>贵州省兴仁县马马崖镇金钟村三组</v>
      </c>
      <c r="F65" s="10" t="str">
        <f t="shared" si="3"/>
        <v>初中</v>
      </c>
      <c r="G65" s="10" t="str">
        <f t="shared" si="5"/>
        <v>212:体育</v>
      </c>
      <c r="H65" s="10"/>
      <c r="I65" s="9" t="s">
        <v>25</v>
      </c>
      <c r="J65" s="13">
        <v>82.36</v>
      </c>
      <c r="K65" s="10">
        <v>13</v>
      </c>
      <c r="L65" s="16"/>
    </row>
    <row r="66" s="4" customFormat="1" ht="33" customHeight="1" spans="1:12">
      <c r="A66" s="10">
        <v>63</v>
      </c>
      <c r="B66" s="10" t="str">
        <f>"覃小弟"</f>
        <v>覃小弟</v>
      </c>
      <c r="C66" s="10" t="str">
        <f>"男        "</f>
        <v>男        </v>
      </c>
      <c r="D66" s="10" t="str">
        <f>"壮族"</f>
        <v>壮族</v>
      </c>
      <c r="E66" s="10" t="str">
        <f>"广西隆林各族自治县岩茶乡平班村那桃屯10号"</f>
        <v>广西隆林各族自治县岩茶乡平班村那桃屯10号</v>
      </c>
      <c r="F66" s="10" t="str">
        <f t="shared" si="3"/>
        <v>初中</v>
      </c>
      <c r="G66" s="10" t="str">
        <f t="shared" si="5"/>
        <v>212:体育</v>
      </c>
      <c r="H66" s="10"/>
      <c r="I66" s="9" t="s">
        <v>25</v>
      </c>
      <c r="J66" s="13">
        <v>81.84</v>
      </c>
      <c r="K66" s="10">
        <v>14</v>
      </c>
      <c r="L66" s="16"/>
    </row>
    <row r="67" s="4" customFormat="1" ht="33" customHeight="1" spans="1:12">
      <c r="A67" s="10">
        <v>64</v>
      </c>
      <c r="B67" s="10" t="str">
        <f>"蔡富萍"</f>
        <v>蔡富萍</v>
      </c>
      <c r="C67" s="10" t="str">
        <f>"女        "</f>
        <v>女        </v>
      </c>
      <c r="D67" s="10" t="str">
        <f>"汉族"</f>
        <v>汉族</v>
      </c>
      <c r="E67" s="10" t="str">
        <f>"广西百色市龙林各族自治县金钟山乡平流村尾号屯"</f>
        <v>广西百色市龙林各族自治县金钟山乡平流村尾号屯</v>
      </c>
      <c r="F67" s="10" t="str">
        <f t="shared" si="3"/>
        <v>初中</v>
      </c>
      <c r="G67" s="10" t="str">
        <f t="shared" si="5"/>
        <v>212:体育</v>
      </c>
      <c r="H67" s="10"/>
      <c r="I67" s="9" t="s">
        <v>25</v>
      </c>
      <c r="J67" s="13">
        <v>81.8</v>
      </c>
      <c r="K67" s="10">
        <v>15</v>
      </c>
      <c r="L67" s="16"/>
    </row>
    <row r="68" s="4" customFormat="1" ht="33" customHeight="1" spans="1:12">
      <c r="A68" s="10">
        <v>65</v>
      </c>
      <c r="B68" s="10" t="str">
        <f>"林叶灿"</f>
        <v>林叶灿</v>
      </c>
      <c r="C68" s="10" t="str">
        <f>"女        "</f>
        <v>女        </v>
      </c>
      <c r="D68" s="10" t="str">
        <f>"汉族"</f>
        <v>汉族</v>
      </c>
      <c r="E68" s="10" t="str">
        <f>"贵州省安龙县新安镇箐山村白坟组30号"</f>
        <v>贵州省安龙县新安镇箐山村白坟组30号</v>
      </c>
      <c r="F68" s="10" t="str">
        <f t="shared" ref="F68:F77" si="7">"初中"</f>
        <v>初中</v>
      </c>
      <c r="G68" s="10" t="str">
        <f t="shared" si="5"/>
        <v>212:体育</v>
      </c>
      <c r="H68" s="10"/>
      <c r="I68" s="9" t="s">
        <v>25</v>
      </c>
      <c r="J68" s="13">
        <v>81.54</v>
      </c>
      <c r="K68" s="10">
        <v>16</v>
      </c>
      <c r="L68" s="16"/>
    </row>
    <row r="69" s="4" customFormat="1" ht="33" customHeight="1" spans="1:12">
      <c r="A69" s="10">
        <v>66</v>
      </c>
      <c r="B69" s="10" t="str">
        <f>"胡开兴"</f>
        <v>胡开兴</v>
      </c>
      <c r="C69" s="10" t="str">
        <f>"男        "</f>
        <v>男        </v>
      </c>
      <c r="D69" s="10" t="str">
        <f>"汉族"</f>
        <v>汉族</v>
      </c>
      <c r="E69" s="10" t="str">
        <f>"云南省昭通市巧家县白鹤滩镇黎明村"</f>
        <v>云南省昭通市巧家县白鹤滩镇黎明村</v>
      </c>
      <c r="F69" s="10" t="str">
        <f t="shared" si="7"/>
        <v>初中</v>
      </c>
      <c r="G69" s="10" t="str">
        <f t="shared" si="5"/>
        <v>212:体育</v>
      </c>
      <c r="H69" s="10"/>
      <c r="I69" s="9" t="s">
        <v>25</v>
      </c>
      <c r="J69" s="13">
        <v>81.54</v>
      </c>
      <c r="K69" s="10">
        <v>17</v>
      </c>
      <c r="L69" s="16"/>
    </row>
    <row r="70" s="4" customFormat="1" ht="33" customHeight="1" spans="1:12">
      <c r="A70" s="10">
        <v>67</v>
      </c>
      <c r="B70" s="10" t="str">
        <f>"李菲"</f>
        <v>李菲</v>
      </c>
      <c r="C70" s="10" t="str">
        <f>"女        "</f>
        <v>女        </v>
      </c>
      <c r="D70" s="10" t="str">
        <f>"壮族"</f>
        <v>壮族</v>
      </c>
      <c r="E70" s="10" t="str">
        <f>"广西省桂林市荔浦县茶城乡坪社村落洞屯"</f>
        <v>广西省桂林市荔浦县茶城乡坪社村落洞屯</v>
      </c>
      <c r="F70" s="10" t="str">
        <f t="shared" si="7"/>
        <v>初中</v>
      </c>
      <c r="G70" s="10" t="str">
        <f t="shared" si="5"/>
        <v>212:体育</v>
      </c>
      <c r="H70" s="10"/>
      <c r="I70" s="9" t="s">
        <v>25</v>
      </c>
      <c r="J70" s="13">
        <v>80.52</v>
      </c>
      <c r="K70" s="10">
        <v>18</v>
      </c>
      <c r="L70" s="16"/>
    </row>
    <row r="71" s="4" customFormat="1" ht="33" customHeight="1" spans="1:12">
      <c r="A71" s="10">
        <v>68</v>
      </c>
      <c r="B71" s="10" t="str">
        <f>"陆建黄"</f>
        <v>陆建黄</v>
      </c>
      <c r="C71" s="10" t="str">
        <f t="shared" ref="C71:C77" si="8">"男        "</f>
        <v>男        </v>
      </c>
      <c r="D71" s="10" t="str">
        <f>"壮族"</f>
        <v>壮族</v>
      </c>
      <c r="E71" s="10" t="str">
        <f>"云南省文山州广南县这兔乡斗月村麻栗树小组"</f>
        <v>云南省文山州广南县这兔乡斗月村麻栗树小组</v>
      </c>
      <c r="F71" s="10" t="str">
        <f t="shared" si="7"/>
        <v>初中</v>
      </c>
      <c r="G71" s="10" t="str">
        <f t="shared" si="5"/>
        <v>212:体育</v>
      </c>
      <c r="H71" s="10"/>
      <c r="I71" s="9" t="s">
        <v>25</v>
      </c>
      <c r="J71" s="13">
        <v>80.18</v>
      </c>
      <c r="K71" s="10">
        <v>19</v>
      </c>
      <c r="L71" s="16"/>
    </row>
    <row r="72" s="4" customFormat="1" ht="33" customHeight="1" spans="1:12">
      <c r="A72" s="10">
        <v>69</v>
      </c>
      <c r="B72" s="10" t="str">
        <f>"黄欢"</f>
        <v>黄欢</v>
      </c>
      <c r="C72" s="10" t="str">
        <f t="shared" si="8"/>
        <v>男        </v>
      </c>
      <c r="D72" s="10" t="str">
        <f>"汉族"</f>
        <v>汉族</v>
      </c>
      <c r="E72" s="10" t="str">
        <f>"贵州省盘县新民乡祭山树村一组"</f>
        <v>贵州省盘县新民乡祭山树村一组</v>
      </c>
      <c r="F72" s="10" t="str">
        <f t="shared" si="7"/>
        <v>初中</v>
      </c>
      <c r="G72" s="10" t="str">
        <f t="shared" si="5"/>
        <v>212:体育</v>
      </c>
      <c r="H72" s="10"/>
      <c r="I72" s="9" t="s">
        <v>25</v>
      </c>
      <c r="J72" s="13">
        <v>80.08</v>
      </c>
      <c r="K72" s="10">
        <v>20</v>
      </c>
      <c r="L72" s="16"/>
    </row>
    <row r="73" s="4" customFormat="1" ht="33" customHeight="1" spans="1:12">
      <c r="A73" s="10">
        <v>70</v>
      </c>
      <c r="B73" s="10" t="str">
        <f>"王向阳"</f>
        <v>王向阳</v>
      </c>
      <c r="C73" s="10" t="str">
        <f t="shared" si="8"/>
        <v>男        </v>
      </c>
      <c r="D73" s="10" t="str">
        <f>"汉族"</f>
        <v>汉族</v>
      </c>
      <c r="E73" s="10" t="str">
        <f>"贵州省真丰县盘龙村大坪组"</f>
        <v>贵州省真丰县盘龙村大坪组</v>
      </c>
      <c r="F73" s="10" t="str">
        <f t="shared" si="7"/>
        <v>初中</v>
      </c>
      <c r="G73" s="10" t="str">
        <f t="shared" si="5"/>
        <v>212:体育</v>
      </c>
      <c r="H73" s="10"/>
      <c r="I73" s="9" t="s">
        <v>25</v>
      </c>
      <c r="J73" s="13">
        <v>79.78</v>
      </c>
      <c r="K73" s="10">
        <v>21</v>
      </c>
      <c r="L73" s="16"/>
    </row>
    <row r="74" s="4" customFormat="1" ht="33" customHeight="1" spans="1:12">
      <c r="A74" s="10">
        <v>71</v>
      </c>
      <c r="B74" s="10" t="str">
        <f>"杨威"</f>
        <v>杨威</v>
      </c>
      <c r="C74" s="10" t="str">
        <f t="shared" si="8"/>
        <v>男        </v>
      </c>
      <c r="D74" s="10" t="str">
        <f>"苗族"</f>
        <v>苗族</v>
      </c>
      <c r="E74" s="10" t="str">
        <f>"贵州省望谟县石屯镇石屯中学教师宿舍"</f>
        <v>贵州省望谟县石屯镇石屯中学教师宿舍</v>
      </c>
      <c r="F74" s="10" t="str">
        <f t="shared" si="7"/>
        <v>初中</v>
      </c>
      <c r="G74" s="10" t="str">
        <f t="shared" si="5"/>
        <v>212:体育</v>
      </c>
      <c r="H74" s="10"/>
      <c r="I74" s="9" t="s">
        <v>25</v>
      </c>
      <c r="J74" s="13">
        <v>79.62</v>
      </c>
      <c r="K74" s="10">
        <v>22</v>
      </c>
      <c r="L74" s="16"/>
    </row>
    <row r="75" s="4" customFormat="1" ht="33" customHeight="1" spans="1:12">
      <c r="A75" s="10">
        <v>72</v>
      </c>
      <c r="B75" s="10" t="str">
        <f>"何农康"</f>
        <v>何农康</v>
      </c>
      <c r="C75" s="10" t="str">
        <f t="shared" si="8"/>
        <v>男        </v>
      </c>
      <c r="D75" s="10" t="str">
        <f>"壮族"</f>
        <v>壮族</v>
      </c>
      <c r="E75" s="10" t="str">
        <f>"云南省文山州广南县坝美镇者烈村委会弄同小组"</f>
        <v>云南省文山州广南县坝美镇者烈村委会弄同小组</v>
      </c>
      <c r="F75" s="10" t="str">
        <f t="shared" si="7"/>
        <v>初中</v>
      </c>
      <c r="G75" s="10" t="str">
        <f t="shared" si="5"/>
        <v>212:体育</v>
      </c>
      <c r="H75" s="10"/>
      <c r="I75" s="9" t="s">
        <v>25</v>
      </c>
      <c r="J75" s="13">
        <v>79.24</v>
      </c>
      <c r="K75" s="10">
        <v>23</v>
      </c>
      <c r="L75" s="16"/>
    </row>
    <row r="76" s="4" customFormat="1" ht="33" customHeight="1" spans="1:12">
      <c r="A76" s="10">
        <v>73</v>
      </c>
      <c r="B76" s="10" t="str">
        <f>"杨兴汝"</f>
        <v>杨兴汝</v>
      </c>
      <c r="C76" s="10" t="str">
        <f t="shared" si="8"/>
        <v>男        </v>
      </c>
      <c r="D76" s="10" t="str">
        <f>"苗族"</f>
        <v>苗族</v>
      </c>
      <c r="E76" s="10" t="str">
        <f>"贵州省安龙县洒雨镇海星村科基组"</f>
        <v>贵州省安龙县洒雨镇海星村科基组</v>
      </c>
      <c r="F76" s="10" t="str">
        <f t="shared" si="7"/>
        <v>初中</v>
      </c>
      <c r="G76" s="10" t="str">
        <f t="shared" si="5"/>
        <v>212:体育</v>
      </c>
      <c r="H76" s="10"/>
      <c r="I76" s="9" t="s">
        <v>25</v>
      </c>
      <c r="J76" s="13">
        <v>78.96</v>
      </c>
      <c r="K76" s="10">
        <v>24</v>
      </c>
      <c r="L76" s="16"/>
    </row>
    <row r="77" s="4" customFormat="1" ht="33" customHeight="1" spans="1:12">
      <c r="A77" s="10">
        <v>74</v>
      </c>
      <c r="B77" s="10" t="str">
        <f>"黄宁"</f>
        <v>黄宁</v>
      </c>
      <c r="C77" s="10" t="str">
        <f t="shared" si="8"/>
        <v>男        </v>
      </c>
      <c r="D77" s="10" t="str">
        <f>"壮族"</f>
        <v>壮族</v>
      </c>
      <c r="E77" s="10" t="str">
        <f>"广西百色市靖西市南坡乡底定村汤定屯"</f>
        <v>广西百色市靖西市南坡乡底定村汤定屯</v>
      </c>
      <c r="F77" s="10" t="str">
        <f t="shared" si="7"/>
        <v>初中</v>
      </c>
      <c r="G77" s="10" t="str">
        <f t="shared" si="5"/>
        <v>212:体育</v>
      </c>
      <c r="H77" s="10"/>
      <c r="I77" s="9" t="s">
        <v>25</v>
      </c>
      <c r="J77" s="13">
        <v>47.54</v>
      </c>
      <c r="K77" s="10">
        <v>25</v>
      </c>
      <c r="L77" s="16"/>
    </row>
    <row r="78" s="4" customFormat="1" ht="33" customHeight="1" spans="1:12">
      <c r="A78" s="10">
        <v>75</v>
      </c>
      <c r="B78" s="10" t="str">
        <f>"黄彩群"</f>
        <v>黄彩群</v>
      </c>
      <c r="C78" s="10" t="str">
        <f>"女        "</f>
        <v>女        </v>
      </c>
      <c r="D78" s="10" t="str">
        <f>"壮族"</f>
        <v>壮族</v>
      </c>
      <c r="E78" s="10" t="str">
        <f>"广西省百色市隆林县革步乡马用村马用社20号"</f>
        <v>广西省百色市隆林县革步乡马用村马用社20号</v>
      </c>
      <c r="F78" s="10" t="str">
        <f t="shared" ref="F78:F107" si="9">"小学"</f>
        <v>小学</v>
      </c>
      <c r="G78" s="10" t="str">
        <f t="shared" ref="G78:G107" si="10">"106:体育"</f>
        <v>106:体育</v>
      </c>
      <c r="H78" s="10"/>
      <c r="I78" s="9" t="s">
        <v>26</v>
      </c>
      <c r="J78" s="13">
        <v>87.66</v>
      </c>
      <c r="K78" s="14">
        <v>1</v>
      </c>
      <c r="L78" s="16" t="s">
        <v>15</v>
      </c>
    </row>
    <row r="79" s="4" customFormat="1" ht="33" customHeight="1" spans="1:12">
      <c r="A79" s="10">
        <v>76</v>
      </c>
      <c r="B79" s="10" t="str">
        <f>"李政锦"</f>
        <v>李政锦</v>
      </c>
      <c r="C79" s="10" t="str">
        <f>"男        "</f>
        <v>男        </v>
      </c>
      <c r="D79" s="10" t="str">
        <f>"苗族"</f>
        <v>苗族</v>
      </c>
      <c r="E79" s="10" t="str">
        <f>"广西省百色市隆林各族自治县民权社区民权街200号"</f>
        <v>广西省百色市隆林各族自治县民权社区民权街200号</v>
      </c>
      <c r="F79" s="10" t="str">
        <f t="shared" si="9"/>
        <v>小学</v>
      </c>
      <c r="G79" s="10" t="str">
        <f t="shared" si="10"/>
        <v>106:体育</v>
      </c>
      <c r="H79" s="10"/>
      <c r="I79" s="9" t="s">
        <v>26</v>
      </c>
      <c r="J79" s="13">
        <v>87.04</v>
      </c>
      <c r="K79" s="14">
        <v>2</v>
      </c>
      <c r="L79" s="16" t="s">
        <v>15</v>
      </c>
    </row>
    <row r="80" s="4" customFormat="1" ht="33" customHeight="1" spans="1:12">
      <c r="A80" s="10">
        <v>77</v>
      </c>
      <c r="B80" s="10" t="str">
        <f>"周国锐"</f>
        <v>周国锐</v>
      </c>
      <c r="C80" s="10" t="str">
        <f>"男        "</f>
        <v>男        </v>
      </c>
      <c r="D80" s="10" t="str">
        <f>"彝族"</f>
        <v>彝族</v>
      </c>
      <c r="E80" s="10" t="str">
        <f>"云南省文山壮族苗族自治州砚山县平远镇木瓜铺村委会阿"</f>
        <v>云南省文山壮族苗族自治州砚山县平远镇木瓜铺村委会阿</v>
      </c>
      <c r="F80" s="10" t="str">
        <f t="shared" si="9"/>
        <v>小学</v>
      </c>
      <c r="G80" s="10" t="str">
        <f t="shared" si="10"/>
        <v>106:体育</v>
      </c>
      <c r="H80" s="10"/>
      <c r="I80" s="9" t="s">
        <v>26</v>
      </c>
      <c r="J80" s="13">
        <v>85.1</v>
      </c>
      <c r="K80" s="14">
        <v>3</v>
      </c>
      <c r="L80" s="16" t="s">
        <v>15</v>
      </c>
    </row>
    <row r="81" s="4" customFormat="1" ht="33" customHeight="1" spans="1:12">
      <c r="A81" s="10">
        <v>78</v>
      </c>
      <c r="B81" s="10" t="str">
        <f>"袁永丽"</f>
        <v>袁永丽</v>
      </c>
      <c r="C81" s="10" t="str">
        <f>"女        "</f>
        <v>女        </v>
      </c>
      <c r="D81" s="10" t="str">
        <f>"汉族"</f>
        <v>汉族</v>
      </c>
      <c r="E81" s="10" t="str">
        <f>"贵州省兴仁县雨樟镇并嘎村"</f>
        <v>贵州省兴仁县雨樟镇并嘎村</v>
      </c>
      <c r="F81" s="10" t="str">
        <f t="shared" si="9"/>
        <v>小学</v>
      </c>
      <c r="G81" s="10" t="str">
        <f t="shared" si="10"/>
        <v>106:体育</v>
      </c>
      <c r="H81" s="10"/>
      <c r="I81" s="9" t="s">
        <v>26</v>
      </c>
      <c r="J81" s="13">
        <v>84.37</v>
      </c>
      <c r="K81" s="14">
        <v>4</v>
      </c>
      <c r="L81" s="16" t="s">
        <v>15</v>
      </c>
    </row>
    <row r="82" s="4" customFormat="1" ht="33" customHeight="1" spans="1:12">
      <c r="A82" s="10">
        <v>79</v>
      </c>
      <c r="B82" s="10" t="str">
        <f>"李金弟"</f>
        <v>李金弟</v>
      </c>
      <c r="C82" s="10" t="str">
        <f>"女        "</f>
        <v>女        </v>
      </c>
      <c r="D82" s="10" t="str">
        <f>"汉族"</f>
        <v>汉族</v>
      </c>
      <c r="E82" s="10" t="str">
        <f>"贵州省安龙县新安镇阿皂村"</f>
        <v>贵州省安龙县新安镇阿皂村</v>
      </c>
      <c r="F82" s="10" t="str">
        <f t="shared" si="9"/>
        <v>小学</v>
      </c>
      <c r="G82" s="10" t="str">
        <f t="shared" si="10"/>
        <v>106:体育</v>
      </c>
      <c r="H82" s="10"/>
      <c r="I82" s="9" t="s">
        <v>26</v>
      </c>
      <c r="J82" s="13">
        <v>83.62</v>
      </c>
      <c r="K82" s="14">
        <v>5</v>
      </c>
      <c r="L82" s="16" t="s">
        <v>15</v>
      </c>
    </row>
    <row r="83" s="4" customFormat="1" ht="33" customHeight="1" spans="1:12">
      <c r="A83" s="10">
        <v>80</v>
      </c>
      <c r="B83" s="10" t="str">
        <f>"常宁"</f>
        <v>常宁</v>
      </c>
      <c r="C83" s="10" t="str">
        <f>"男        "</f>
        <v>男        </v>
      </c>
      <c r="D83" s="10" t="str">
        <f>"壮族"</f>
        <v>壮族</v>
      </c>
      <c r="E83" s="10" t="str">
        <f>"广西壮族自治区百色市隆林各族自治县者保乡同福村那吉"</f>
        <v>广西壮族自治区百色市隆林各族自治县者保乡同福村那吉</v>
      </c>
      <c r="F83" s="10" t="str">
        <f t="shared" si="9"/>
        <v>小学</v>
      </c>
      <c r="G83" s="10" t="str">
        <f t="shared" si="10"/>
        <v>106:体育</v>
      </c>
      <c r="H83" s="10"/>
      <c r="I83" s="9" t="s">
        <v>26</v>
      </c>
      <c r="J83" s="13">
        <v>82.88</v>
      </c>
      <c r="K83" s="10">
        <v>6</v>
      </c>
      <c r="L83" s="16"/>
    </row>
    <row r="84" s="4" customFormat="1" ht="33" customHeight="1" spans="1:12">
      <c r="A84" s="10">
        <v>81</v>
      </c>
      <c r="B84" s="10" t="str">
        <f>"冉孟君"</f>
        <v>冉孟君</v>
      </c>
      <c r="C84" s="10" t="str">
        <f>"男        "</f>
        <v>男        </v>
      </c>
      <c r="D84" s="10" t="str">
        <f>"布依族"</f>
        <v>布依族</v>
      </c>
      <c r="E84" s="10" t="str">
        <f>"贵州省望谟县新屯街道办柯杉村田坝组"</f>
        <v>贵州省望谟县新屯街道办柯杉村田坝组</v>
      </c>
      <c r="F84" s="10" t="str">
        <f t="shared" si="9"/>
        <v>小学</v>
      </c>
      <c r="G84" s="10" t="str">
        <f t="shared" si="10"/>
        <v>106:体育</v>
      </c>
      <c r="H84" s="10"/>
      <c r="I84" s="9" t="s">
        <v>26</v>
      </c>
      <c r="J84" s="13">
        <v>82.63</v>
      </c>
      <c r="K84" s="10">
        <v>7</v>
      </c>
      <c r="L84" s="16"/>
    </row>
    <row r="85" s="4" customFormat="1" ht="33" customHeight="1" spans="1:12">
      <c r="A85" s="10">
        <v>82</v>
      </c>
      <c r="B85" s="10" t="str">
        <f>"王亚亭"</f>
        <v>王亚亭</v>
      </c>
      <c r="C85" s="10" t="str">
        <f>"女        "</f>
        <v>女        </v>
      </c>
      <c r="D85" s="10" t="str">
        <f>"汉族"</f>
        <v>汉族</v>
      </c>
      <c r="E85" s="10" t="str">
        <f>"贵州省安龙县新桥镇新桥村三份田组42号"</f>
        <v>贵州省安龙县新桥镇新桥村三份田组42号</v>
      </c>
      <c r="F85" s="10" t="str">
        <f t="shared" si="9"/>
        <v>小学</v>
      </c>
      <c r="G85" s="10" t="str">
        <f t="shared" si="10"/>
        <v>106:体育</v>
      </c>
      <c r="H85" s="10"/>
      <c r="I85" s="9" t="s">
        <v>26</v>
      </c>
      <c r="J85" s="13">
        <v>82.3</v>
      </c>
      <c r="K85" s="10">
        <v>8</v>
      </c>
      <c r="L85" s="16"/>
    </row>
    <row r="86" s="4" customFormat="1" ht="33" customHeight="1" spans="1:12">
      <c r="A86" s="10">
        <v>83</v>
      </c>
      <c r="B86" s="10" t="str">
        <f>"王亚乾"</f>
        <v>王亚乾</v>
      </c>
      <c r="C86" s="10" t="str">
        <f>"男        "</f>
        <v>男        </v>
      </c>
      <c r="D86" s="10" t="str">
        <f>"苗族"</f>
        <v>苗族</v>
      </c>
      <c r="E86" s="10" t="str">
        <f>"贵州省遵义市正安县市坪乡粗石村麻子坎组"</f>
        <v>贵州省遵义市正安县市坪乡粗石村麻子坎组</v>
      </c>
      <c r="F86" s="10" t="str">
        <f t="shared" si="9"/>
        <v>小学</v>
      </c>
      <c r="G86" s="10" t="str">
        <f t="shared" si="10"/>
        <v>106:体育</v>
      </c>
      <c r="H86" s="10"/>
      <c r="I86" s="9" t="s">
        <v>26</v>
      </c>
      <c r="J86" s="13">
        <v>81.78</v>
      </c>
      <c r="K86" s="10">
        <v>9</v>
      </c>
      <c r="L86" s="16"/>
    </row>
    <row r="87" s="4" customFormat="1" ht="33" customHeight="1" spans="1:12">
      <c r="A87" s="10">
        <v>84</v>
      </c>
      <c r="B87" s="10" t="str">
        <f>"朱唐荣"</f>
        <v>朱唐荣</v>
      </c>
      <c r="C87" s="10" t="str">
        <f>"男        "</f>
        <v>男        </v>
      </c>
      <c r="D87" s="10" t="str">
        <f>"汉族"</f>
        <v>汉族</v>
      </c>
      <c r="E87" s="10" t="str">
        <f>"云南省曲靖市罗平县腊山街道青草塘居委会青草塘村222号"</f>
        <v>云南省曲靖市罗平县腊山街道青草塘居委会青草塘村222号</v>
      </c>
      <c r="F87" s="10" t="str">
        <f t="shared" si="9"/>
        <v>小学</v>
      </c>
      <c r="G87" s="10" t="str">
        <f t="shared" si="10"/>
        <v>106:体育</v>
      </c>
      <c r="H87" s="10"/>
      <c r="I87" s="9" t="s">
        <v>26</v>
      </c>
      <c r="J87" s="13">
        <v>81.61</v>
      </c>
      <c r="K87" s="10">
        <v>10</v>
      </c>
      <c r="L87" s="16"/>
    </row>
    <row r="88" s="4" customFormat="1" ht="33" customHeight="1" spans="1:12">
      <c r="A88" s="10">
        <v>85</v>
      </c>
      <c r="B88" s="10" t="str">
        <f>"罗龙坤"</f>
        <v>罗龙坤</v>
      </c>
      <c r="C88" s="10" t="str">
        <f>"男        "</f>
        <v>男        </v>
      </c>
      <c r="D88" s="10" t="str">
        <f>"布依族"</f>
        <v>布依族</v>
      </c>
      <c r="E88" s="10" t="str">
        <f>"贵州省册亨县冗渡镇冗渡村冗坪下组17号"</f>
        <v>贵州省册亨县冗渡镇冗渡村冗坪下组17号</v>
      </c>
      <c r="F88" s="10" t="str">
        <f t="shared" si="9"/>
        <v>小学</v>
      </c>
      <c r="G88" s="10" t="str">
        <f t="shared" si="10"/>
        <v>106:体育</v>
      </c>
      <c r="H88" s="10"/>
      <c r="I88" s="9" t="s">
        <v>26</v>
      </c>
      <c r="J88" s="13">
        <v>80.87</v>
      </c>
      <c r="K88" s="10">
        <v>11</v>
      </c>
      <c r="L88" s="16"/>
    </row>
    <row r="89" s="4" customFormat="1" ht="33" customHeight="1" spans="1:12">
      <c r="A89" s="10">
        <v>86</v>
      </c>
      <c r="B89" s="10" t="str">
        <f>"潘兴章"</f>
        <v>潘兴章</v>
      </c>
      <c r="C89" s="10" t="str">
        <f>"男        "</f>
        <v>男        </v>
      </c>
      <c r="D89" s="10" t="str">
        <f>"汉族"</f>
        <v>汉族</v>
      </c>
      <c r="E89" s="10" t="str">
        <f>"贵州省望谟县打易镇打包村打包组"</f>
        <v>贵州省望谟县打易镇打包村打包组</v>
      </c>
      <c r="F89" s="10" t="str">
        <f t="shared" si="9"/>
        <v>小学</v>
      </c>
      <c r="G89" s="10" t="str">
        <f t="shared" si="10"/>
        <v>106:体育</v>
      </c>
      <c r="H89" s="10"/>
      <c r="I89" s="9" t="s">
        <v>26</v>
      </c>
      <c r="J89" s="13">
        <v>80.46</v>
      </c>
      <c r="K89" s="10">
        <v>12</v>
      </c>
      <c r="L89" s="16"/>
    </row>
    <row r="90" s="4" customFormat="1" ht="33" customHeight="1" spans="1:12">
      <c r="A90" s="10">
        <v>87</v>
      </c>
      <c r="B90" s="10" t="str">
        <f>"盘兴华"</f>
        <v>盘兴华</v>
      </c>
      <c r="C90" s="10" t="str">
        <f>"男        "</f>
        <v>男        </v>
      </c>
      <c r="D90" s="10" t="str">
        <f>"瑶族"</f>
        <v>瑶族</v>
      </c>
      <c r="E90" s="10" t="str">
        <f>"云南省文山壮族苗族自治州麻栗坡县六河乡六河村41号"</f>
        <v>云南省文山壮族苗族自治州麻栗坡县六河乡六河村41号</v>
      </c>
      <c r="F90" s="10" t="str">
        <f t="shared" si="9"/>
        <v>小学</v>
      </c>
      <c r="G90" s="10" t="str">
        <f t="shared" si="10"/>
        <v>106:体育</v>
      </c>
      <c r="H90" s="10"/>
      <c r="I90" s="9" t="s">
        <v>26</v>
      </c>
      <c r="J90" s="13">
        <v>80.35</v>
      </c>
      <c r="K90" s="10">
        <v>13</v>
      </c>
      <c r="L90" s="16"/>
    </row>
    <row r="91" s="4" customFormat="1" ht="33" customHeight="1" spans="1:12">
      <c r="A91" s="10">
        <v>88</v>
      </c>
      <c r="B91" s="10" t="str">
        <f>"卢加琴"</f>
        <v>卢加琴</v>
      </c>
      <c r="C91" s="10" t="str">
        <f>"女        "</f>
        <v>女        </v>
      </c>
      <c r="D91" s="10" t="str">
        <f>"汉族"</f>
        <v>汉族</v>
      </c>
      <c r="E91" s="10" t="str">
        <f>"贵州省安龙县兴隆镇久长村中心组"</f>
        <v>贵州省安龙县兴隆镇久长村中心组</v>
      </c>
      <c r="F91" s="10" t="str">
        <f t="shared" si="9"/>
        <v>小学</v>
      </c>
      <c r="G91" s="10" t="str">
        <f t="shared" si="10"/>
        <v>106:体育</v>
      </c>
      <c r="H91" s="10"/>
      <c r="I91" s="9" t="s">
        <v>26</v>
      </c>
      <c r="J91" s="13">
        <v>80.3</v>
      </c>
      <c r="K91" s="10">
        <v>14</v>
      </c>
      <c r="L91" s="16"/>
    </row>
    <row r="92" s="4" customFormat="1" ht="33" customHeight="1" spans="1:12">
      <c r="A92" s="10">
        <v>89</v>
      </c>
      <c r="B92" s="10" t="str">
        <f>"张显举"</f>
        <v>张显举</v>
      </c>
      <c r="C92" s="10" t="str">
        <f>"男        "</f>
        <v>男        </v>
      </c>
      <c r="D92" s="10" t="str">
        <f>"汉族"</f>
        <v>汉族</v>
      </c>
      <c r="E92" s="10" t="str">
        <f>"贵州省兴仁县鲁础营回族乡索土村索土祖"</f>
        <v>贵州省兴仁县鲁础营回族乡索土村索土祖</v>
      </c>
      <c r="F92" s="10" t="str">
        <f t="shared" si="9"/>
        <v>小学</v>
      </c>
      <c r="G92" s="10" t="str">
        <f t="shared" si="10"/>
        <v>106:体育</v>
      </c>
      <c r="H92" s="10"/>
      <c r="I92" s="9" t="s">
        <v>26</v>
      </c>
      <c r="J92" s="13">
        <v>80.17</v>
      </c>
      <c r="K92" s="10">
        <v>15</v>
      </c>
      <c r="L92" s="16"/>
    </row>
    <row r="93" s="4" customFormat="1" ht="33" customHeight="1" spans="1:12">
      <c r="A93" s="10">
        <v>90</v>
      </c>
      <c r="B93" s="10" t="str">
        <f>"赵潇斓"</f>
        <v>赵潇斓</v>
      </c>
      <c r="C93" s="10" t="str">
        <f>"女        "</f>
        <v>女        </v>
      </c>
      <c r="D93" s="10" t="str">
        <f>"苗族"</f>
        <v>苗族</v>
      </c>
      <c r="E93" s="10" t="str">
        <f>"广西壮族自治区隆林县德峨镇常么村桠口屯041号"</f>
        <v>广西壮族自治区隆林县德峨镇常么村桠口屯041号</v>
      </c>
      <c r="F93" s="10" t="str">
        <f t="shared" si="9"/>
        <v>小学</v>
      </c>
      <c r="G93" s="10" t="str">
        <f t="shared" si="10"/>
        <v>106:体育</v>
      </c>
      <c r="H93" s="10"/>
      <c r="I93" s="9" t="s">
        <v>26</v>
      </c>
      <c r="J93" s="13">
        <v>79.97</v>
      </c>
      <c r="K93" s="10">
        <v>16</v>
      </c>
      <c r="L93" s="16"/>
    </row>
    <row r="94" s="4" customFormat="1" ht="33" customHeight="1" spans="1:12">
      <c r="A94" s="10">
        <v>91</v>
      </c>
      <c r="B94" s="10" t="str">
        <f>"王芳蓓"</f>
        <v>王芳蓓</v>
      </c>
      <c r="C94" s="10" t="str">
        <f>"女        "</f>
        <v>女        </v>
      </c>
      <c r="D94" s="10" t="str">
        <f>"汉族"</f>
        <v>汉族</v>
      </c>
      <c r="E94" s="10" t="str">
        <f>"广西省百色市隆林县蛇场乡蛇场村"</f>
        <v>广西省百色市隆林县蛇场乡蛇场村</v>
      </c>
      <c r="F94" s="10" t="str">
        <f t="shared" si="9"/>
        <v>小学</v>
      </c>
      <c r="G94" s="10" t="str">
        <f t="shared" si="10"/>
        <v>106:体育</v>
      </c>
      <c r="H94" s="10"/>
      <c r="I94" s="9" t="s">
        <v>26</v>
      </c>
      <c r="J94" s="13">
        <v>79.57</v>
      </c>
      <c r="K94" s="10">
        <v>17</v>
      </c>
      <c r="L94" s="16"/>
    </row>
    <row r="95" s="4" customFormat="1" ht="33" customHeight="1" spans="1:12">
      <c r="A95" s="10">
        <v>92</v>
      </c>
      <c r="B95" s="10" t="str">
        <f>"焦志能"</f>
        <v>焦志能</v>
      </c>
      <c r="C95" s="10" t="str">
        <f>"男        "</f>
        <v>男        </v>
      </c>
      <c r="D95" s="10" t="str">
        <f>"汉族"</f>
        <v>汉族</v>
      </c>
      <c r="E95" s="10" t="str">
        <f>"云南省文山壮族苗族自治州广南县珠琳镇松树坡村21号"</f>
        <v>云南省文山壮族苗族自治州广南县珠琳镇松树坡村21号</v>
      </c>
      <c r="F95" s="10" t="str">
        <f t="shared" si="9"/>
        <v>小学</v>
      </c>
      <c r="G95" s="10" t="str">
        <f t="shared" si="10"/>
        <v>106:体育</v>
      </c>
      <c r="H95" s="10"/>
      <c r="I95" s="9" t="s">
        <v>26</v>
      </c>
      <c r="J95" s="13">
        <v>79.08</v>
      </c>
      <c r="K95" s="10">
        <v>18</v>
      </c>
      <c r="L95" s="16"/>
    </row>
    <row r="96" s="4" customFormat="1" ht="33" customHeight="1" spans="1:12">
      <c r="A96" s="10">
        <v>93</v>
      </c>
      <c r="B96" s="10" t="str">
        <f>"李菊花"</f>
        <v>李菊花</v>
      </c>
      <c r="C96" s="10" t="str">
        <f>"女        "</f>
        <v>女        </v>
      </c>
      <c r="D96" s="10" t="str">
        <f>"壮族"</f>
        <v>壮族</v>
      </c>
      <c r="E96" s="10" t="str">
        <f>"广西西林县普合苗族乡普合村那合屯"</f>
        <v>广西西林县普合苗族乡普合村那合屯</v>
      </c>
      <c r="F96" s="10" t="str">
        <f t="shared" si="9"/>
        <v>小学</v>
      </c>
      <c r="G96" s="10" t="str">
        <f t="shared" si="10"/>
        <v>106:体育</v>
      </c>
      <c r="H96" s="10"/>
      <c r="I96" s="9" t="s">
        <v>26</v>
      </c>
      <c r="J96" s="13">
        <v>78.97</v>
      </c>
      <c r="K96" s="10">
        <v>19</v>
      </c>
      <c r="L96" s="16"/>
    </row>
    <row r="97" s="4" customFormat="1" ht="33" customHeight="1" spans="1:12">
      <c r="A97" s="10">
        <v>94</v>
      </c>
      <c r="B97" s="10" t="str">
        <f>"杨富"</f>
        <v>杨富</v>
      </c>
      <c r="C97" s="10" t="str">
        <f>"男        "</f>
        <v>男        </v>
      </c>
      <c r="D97" s="10" t="str">
        <f>"苗族"</f>
        <v>苗族</v>
      </c>
      <c r="E97" s="10" t="s">
        <v>27</v>
      </c>
      <c r="F97" s="10" t="str">
        <f t="shared" si="9"/>
        <v>小学</v>
      </c>
      <c r="G97" s="10" t="str">
        <f t="shared" si="10"/>
        <v>106:体育</v>
      </c>
      <c r="H97" s="10"/>
      <c r="I97" s="9" t="s">
        <v>26</v>
      </c>
      <c r="J97" s="13">
        <v>77.91</v>
      </c>
      <c r="K97" s="10">
        <v>20</v>
      </c>
      <c r="L97" s="16"/>
    </row>
    <row r="98" s="4" customFormat="1" ht="33" customHeight="1" spans="1:12">
      <c r="A98" s="10">
        <v>95</v>
      </c>
      <c r="B98" s="10" t="str">
        <f>"郑维秀"</f>
        <v>郑维秀</v>
      </c>
      <c r="C98" s="10" t="str">
        <f>"女        "</f>
        <v>女        </v>
      </c>
      <c r="D98" s="10" t="str">
        <f>"汉族"</f>
        <v>汉族</v>
      </c>
      <c r="E98" s="10" t="str">
        <f>"广西壮族自治区百色市隆林县蛇场乡马场村三角地"</f>
        <v>广西壮族自治区百色市隆林县蛇场乡马场村三角地</v>
      </c>
      <c r="F98" s="10" t="str">
        <f t="shared" si="9"/>
        <v>小学</v>
      </c>
      <c r="G98" s="10" t="str">
        <f t="shared" si="10"/>
        <v>106:体育</v>
      </c>
      <c r="H98" s="10"/>
      <c r="I98" s="9" t="s">
        <v>26</v>
      </c>
      <c r="J98" s="13">
        <v>77.78</v>
      </c>
      <c r="K98" s="10">
        <v>21</v>
      </c>
      <c r="L98" s="16"/>
    </row>
    <row r="99" s="4" customFormat="1" ht="33" customHeight="1" spans="1:12">
      <c r="A99" s="10">
        <v>96</v>
      </c>
      <c r="B99" s="10" t="str">
        <f>"陆耀书"</f>
        <v>陆耀书</v>
      </c>
      <c r="C99" s="10" t="str">
        <f t="shared" ref="C99:C105" si="11">"男        "</f>
        <v>男        </v>
      </c>
      <c r="D99" s="10" t="str">
        <f>"壮族"</f>
        <v>壮族</v>
      </c>
      <c r="E99" s="10" t="str">
        <f>"广西省百色市隆林各族自治县者保乡南光村"</f>
        <v>广西省百色市隆林各族自治县者保乡南光村</v>
      </c>
      <c r="F99" s="10" t="str">
        <f t="shared" si="9"/>
        <v>小学</v>
      </c>
      <c r="G99" s="10" t="str">
        <f t="shared" si="10"/>
        <v>106:体育</v>
      </c>
      <c r="H99" s="10"/>
      <c r="I99" s="9" t="s">
        <v>26</v>
      </c>
      <c r="J99" s="13">
        <v>77.45</v>
      </c>
      <c r="K99" s="10">
        <v>22</v>
      </c>
      <c r="L99" s="16"/>
    </row>
    <row r="100" s="4" customFormat="1" ht="33" customHeight="1" spans="1:12">
      <c r="A100" s="10">
        <v>97</v>
      </c>
      <c r="B100" s="10" t="str">
        <f>"潘占培"</f>
        <v>潘占培</v>
      </c>
      <c r="C100" s="10" t="str">
        <f t="shared" si="11"/>
        <v>男        </v>
      </c>
      <c r="D100" s="10" t="str">
        <f>"布依族"</f>
        <v>布依族</v>
      </c>
      <c r="E100" s="10" t="str">
        <f>"贵州省安龙县栖凤街道办事处幺塘村上坡彦组44号"</f>
        <v>贵州省安龙县栖凤街道办事处幺塘村上坡彦组44号</v>
      </c>
      <c r="F100" s="10" t="str">
        <f t="shared" si="9"/>
        <v>小学</v>
      </c>
      <c r="G100" s="10" t="str">
        <f t="shared" si="10"/>
        <v>106:体育</v>
      </c>
      <c r="H100" s="10"/>
      <c r="I100" s="9" t="s">
        <v>26</v>
      </c>
      <c r="J100" s="13">
        <v>76.63</v>
      </c>
      <c r="K100" s="10">
        <v>23</v>
      </c>
      <c r="L100" s="16"/>
    </row>
    <row r="101" s="4" customFormat="1" ht="33" customHeight="1" spans="1:12">
      <c r="A101" s="10">
        <v>98</v>
      </c>
      <c r="B101" s="10" t="str">
        <f>"黄玉刚"</f>
        <v>黄玉刚</v>
      </c>
      <c r="C101" s="10" t="str">
        <f t="shared" si="11"/>
        <v>男        </v>
      </c>
      <c r="D101" s="10" t="str">
        <f>"汉族"</f>
        <v>汉族</v>
      </c>
      <c r="E101" s="10" t="s">
        <v>28</v>
      </c>
      <c r="F101" s="10" t="str">
        <f t="shared" si="9"/>
        <v>小学</v>
      </c>
      <c r="G101" s="10" t="str">
        <f t="shared" si="10"/>
        <v>106:体育</v>
      </c>
      <c r="H101" s="10"/>
      <c r="I101" s="9" t="s">
        <v>26</v>
      </c>
      <c r="J101" s="13">
        <v>75.81</v>
      </c>
      <c r="K101" s="10">
        <v>24</v>
      </c>
      <c r="L101" s="16"/>
    </row>
    <row r="102" s="4" customFormat="1" ht="33" customHeight="1" spans="1:12">
      <c r="A102" s="10">
        <v>99</v>
      </c>
      <c r="B102" s="10" t="str">
        <f>"田维龙"</f>
        <v>田维龙</v>
      </c>
      <c r="C102" s="10" t="str">
        <f t="shared" si="11"/>
        <v>男        </v>
      </c>
      <c r="D102" s="10" t="str">
        <f>"壮族"</f>
        <v>壮族</v>
      </c>
      <c r="E102" s="10" t="str">
        <f>"广西西林县古障镇古镇村罗仕屯"</f>
        <v>广西西林县古障镇古镇村罗仕屯</v>
      </c>
      <c r="F102" s="10" t="str">
        <f t="shared" si="9"/>
        <v>小学</v>
      </c>
      <c r="G102" s="10" t="str">
        <f t="shared" si="10"/>
        <v>106:体育</v>
      </c>
      <c r="H102" s="10"/>
      <c r="I102" s="9" t="s">
        <v>26</v>
      </c>
      <c r="J102" s="13">
        <v>74.33</v>
      </c>
      <c r="K102" s="10">
        <v>25</v>
      </c>
      <c r="L102" s="16"/>
    </row>
    <row r="103" s="4" customFormat="1" ht="33" customHeight="1" spans="1:12">
      <c r="A103" s="10">
        <v>100</v>
      </c>
      <c r="B103" s="10" t="str">
        <f>"农开宏"</f>
        <v>农开宏</v>
      </c>
      <c r="C103" s="10" t="str">
        <f t="shared" si="11"/>
        <v>男        </v>
      </c>
      <c r="D103" s="10" t="str">
        <f>"壮族"</f>
        <v>壮族</v>
      </c>
      <c r="E103" s="10" t="str">
        <f>"云南省文山州广南县底圩乡那塘小组"</f>
        <v>云南省文山州广南县底圩乡那塘小组</v>
      </c>
      <c r="F103" s="10" t="str">
        <f t="shared" si="9"/>
        <v>小学</v>
      </c>
      <c r="G103" s="10" t="str">
        <f t="shared" si="10"/>
        <v>106:体育</v>
      </c>
      <c r="H103" s="10"/>
      <c r="I103" s="9" t="s">
        <v>26</v>
      </c>
      <c r="J103" s="13">
        <v>74.28</v>
      </c>
      <c r="K103" s="10">
        <v>26</v>
      </c>
      <c r="L103" s="16"/>
    </row>
    <row r="104" s="4" customFormat="1" ht="33" customHeight="1" spans="1:12">
      <c r="A104" s="10">
        <v>101</v>
      </c>
      <c r="B104" s="10" t="str">
        <f>"王飞"</f>
        <v>王飞</v>
      </c>
      <c r="C104" s="10" t="str">
        <f t="shared" si="11"/>
        <v>男        </v>
      </c>
      <c r="D104" s="10" t="str">
        <f>"汉族"</f>
        <v>汉族</v>
      </c>
      <c r="E104" s="10" t="str">
        <f>"广西百色市隆林各族自治县桠杈镇忠义村龙南屯016号"</f>
        <v>广西百色市隆林各族自治县桠杈镇忠义村龙南屯016号</v>
      </c>
      <c r="F104" s="10" t="str">
        <f t="shared" si="9"/>
        <v>小学</v>
      </c>
      <c r="G104" s="10" t="str">
        <f t="shared" si="10"/>
        <v>106:体育</v>
      </c>
      <c r="H104" s="10"/>
      <c r="I104" s="9" t="s">
        <v>26</v>
      </c>
      <c r="J104" s="13">
        <v>72.56</v>
      </c>
      <c r="K104" s="10">
        <v>27</v>
      </c>
      <c r="L104" s="16"/>
    </row>
    <row r="105" s="4" customFormat="1" ht="33" customHeight="1" spans="1:12">
      <c r="A105" s="10">
        <v>102</v>
      </c>
      <c r="B105" s="10" t="str">
        <f>"黎建宏"</f>
        <v>黎建宏</v>
      </c>
      <c r="C105" s="10" t="str">
        <f t="shared" si="11"/>
        <v>男        </v>
      </c>
      <c r="D105" s="10" t="str">
        <f>"壮族"</f>
        <v>壮族</v>
      </c>
      <c r="E105" s="10" t="str">
        <f>"广西百色市西林县八达镇新西路004号"</f>
        <v>广西百色市西林县八达镇新西路004号</v>
      </c>
      <c r="F105" s="10" t="str">
        <f t="shared" si="9"/>
        <v>小学</v>
      </c>
      <c r="G105" s="10" t="str">
        <f t="shared" si="10"/>
        <v>106:体育</v>
      </c>
      <c r="H105" s="10"/>
      <c r="I105" s="9" t="s">
        <v>26</v>
      </c>
      <c r="J105" s="13">
        <v>62.24</v>
      </c>
      <c r="K105" s="10">
        <v>28</v>
      </c>
      <c r="L105" s="16"/>
    </row>
    <row r="106" s="4" customFormat="1" ht="33" customHeight="1" spans="1:12">
      <c r="A106" s="10">
        <v>103</v>
      </c>
      <c r="B106" s="10" t="str">
        <f>"肖兴丽"</f>
        <v>肖兴丽</v>
      </c>
      <c r="C106" s="10" t="str">
        <f>"女        "</f>
        <v>女        </v>
      </c>
      <c r="D106" s="10" t="str">
        <f>"汉族"</f>
        <v>汉族</v>
      </c>
      <c r="E106" s="10" t="str">
        <f>"云南省文山壮族苗族自治州西畴县西洒镇瑞和街70号"</f>
        <v>云南省文山壮族苗族自治州西畴县西洒镇瑞和街70号</v>
      </c>
      <c r="F106" s="10" t="str">
        <f t="shared" si="9"/>
        <v>小学</v>
      </c>
      <c r="G106" s="10" t="str">
        <f t="shared" si="10"/>
        <v>106:体育</v>
      </c>
      <c r="H106" s="10"/>
      <c r="I106" s="9" t="s">
        <v>26</v>
      </c>
      <c r="J106" s="17" t="s">
        <v>18</v>
      </c>
      <c r="K106" s="10">
        <v>29</v>
      </c>
      <c r="L106" s="16"/>
    </row>
    <row r="107" s="4" customFormat="1" ht="33" customHeight="1" spans="1:12">
      <c r="A107" s="10">
        <v>104</v>
      </c>
      <c r="B107" s="10" t="str">
        <f>"蓝程宝"</f>
        <v>蓝程宝</v>
      </c>
      <c r="C107" s="10" t="str">
        <f>"男        "</f>
        <v>男        </v>
      </c>
      <c r="D107" s="10" t="str">
        <f>"瑶族"</f>
        <v>瑶族</v>
      </c>
      <c r="E107" s="10" t="str">
        <f>"广西百色市西林县古障镇央革村高良屯"</f>
        <v>广西百色市西林县古障镇央革村高良屯</v>
      </c>
      <c r="F107" s="10" t="str">
        <f t="shared" si="9"/>
        <v>小学</v>
      </c>
      <c r="G107" s="10" t="str">
        <f t="shared" si="10"/>
        <v>106:体育</v>
      </c>
      <c r="H107" s="10"/>
      <c r="I107" s="9" t="s">
        <v>26</v>
      </c>
      <c r="J107" s="17" t="s">
        <v>18</v>
      </c>
      <c r="K107" s="10">
        <v>30</v>
      </c>
      <c r="L107" s="16"/>
    </row>
    <row r="108" s="4" customFormat="1" ht="33" customHeight="1" spans="1:12">
      <c r="A108" s="10">
        <v>105</v>
      </c>
      <c r="B108" s="10" t="str">
        <f>"代娇"</f>
        <v>代娇</v>
      </c>
      <c r="C108" s="10" t="str">
        <f>"女        "</f>
        <v>女        </v>
      </c>
      <c r="D108" s="10" t="str">
        <f>"汉族"</f>
        <v>汉族</v>
      </c>
      <c r="E108" s="10" t="str">
        <f>"云南省曲靖市富源县黄泥河镇牛场村委会"</f>
        <v>云南省曲靖市富源县黄泥河镇牛场村委会</v>
      </c>
      <c r="F108" s="10" t="str">
        <f t="shared" ref="F108:F154" si="12">"初中"</f>
        <v>初中</v>
      </c>
      <c r="G108" s="10" t="str">
        <f t="shared" ref="G108:G126" si="13">"299:政治"</f>
        <v>299:政治</v>
      </c>
      <c r="H108" s="10"/>
      <c r="I108" s="9" t="s">
        <v>29</v>
      </c>
      <c r="J108" s="13">
        <v>87.74</v>
      </c>
      <c r="K108" s="14">
        <v>1</v>
      </c>
      <c r="L108" s="16" t="s">
        <v>15</v>
      </c>
    </row>
    <row r="109" s="4" customFormat="1" ht="33" customHeight="1" spans="1:12">
      <c r="A109" s="10">
        <v>106</v>
      </c>
      <c r="B109" s="10" t="str">
        <f>"孙波"</f>
        <v>孙波</v>
      </c>
      <c r="C109" s="10" t="str">
        <f>"男        "</f>
        <v>男        </v>
      </c>
      <c r="D109" s="10" t="str">
        <f>"汉族"</f>
        <v>汉族</v>
      </c>
      <c r="E109" s="10" t="str">
        <f>"贵州省兴仁县新龙场镇大坪村半角冲一组46号"</f>
        <v>贵州省兴仁县新龙场镇大坪村半角冲一组46号</v>
      </c>
      <c r="F109" s="10" t="str">
        <f t="shared" si="12"/>
        <v>初中</v>
      </c>
      <c r="G109" s="10" t="str">
        <f t="shared" si="13"/>
        <v>299:政治</v>
      </c>
      <c r="H109" s="10"/>
      <c r="I109" s="9" t="s">
        <v>29</v>
      </c>
      <c r="J109" s="13">
        <v>87</v>
      </c>
      <c r="K109" s="14">
        <v>2</v>
      </c>
      <c r="L109" s="16" t="s">
        <v>15</v>
      </c>
    </row>
    <row r="110" s="4" customFormat="1" ht="33" customHeight="1" spans="1:12">
      <c r="A110" s="10">
        <v>107</v>
      </c>
      <c r="B110" s="10" t="str">
        <f>"牛梦醒"</f>
        <v>牛梦醒</v>
      </c>
      <c r="C110" s="10" t="str">
        <f>"女        "</f>
        <v>女        </v>
      </c>
      <c r="D110" s="10" t="str">
        <f>"汉族"</f>
        <v>汉族</v>
      </c>
      <c r="E110" s="10" t="str">
        <f>"云南省曲靖市罗平县罗雄街道外纳村委会下阿列村"</f>
        <v>云南省曲靖市罗平县罗雄街道外纳村委会下阿列村</v>
      </c>
      <c r="F110" s="10" t="str">
        <f t="shared" si="12"/>
        <v>初中</v>
      </c>
      <c r="G110" s="10" t="str">
        <f t="shared" si="13"/>
        <v>299:政治</v>
      </c>
      <c r="H110" s="10"/>
      <c r="I110" s="9" t="s">
        <v>29</v>
      </c>
      <c r="J110" s="13">
        <v>84.88</v>
      </c>
      <c r="K110" s="14">
        <v>3</v>
      </c>
      <c r="L110" s="16" t="s">
        <v>15</v>
      </c>
    </row>
    <row r="111" s="4" customFormat="1" ht="33" customHeight="1" spans="1:12">
      <c r="A111" s="10">
        <v>108</v>
      </c>
      <c r="B111" s="10" t="str">
        <f>"林菊"</f>
        <v>林菊</v>
      </c>
      <c r="C111" s="10" t="str">
        <f>"女        "</f>
        <v>女        </v>
      </c>
      <c r="D111" s="10" t="str">
        <f>"汉族"</f>
        <v>汉族</v>
      </c>
      <c r="E111" s="10" t="str">
        <f>"贵州省兴仁县百德镇"</f>
        <v>贵州省兴仁县百德镇</v>
      </c>
      <c r="F111" s="10" t="str">
        <f t="shared" si="12"/>
        <v>初中</v>
      </c>
      <c r="G111" s="10" t="str">
        <f t="shared" si="13"/>
        <v>299:政治</v>
      </c>
      <c r="H111" s="10"/>
      <c r="I111" s="9" t="s">
        <v>29</v>
      </c>
      <c r="J111" s="13">
        <v>84.56</v>
      </c>
      <c r="K111" s="14">
        <v>4</v>
      </c>
      <c r="L111" s="16" t="s">
        <v>15</v>
      </c>
    </row>
    <row r="112" s="4" customFormat="1" ht="33" customHeight="1" spans="1:12">
      <c r="A112" s="10">
        <v>109</v>
      </c>
      <c r="B112" s="10" t="str">
        <f>"陆润"</f>
        <v>陆润</v>
      </c>
      <c r="C112" s="10" t="str">
        <f>"女        "</f>
        <v>女        </v>
      </c>
      <c r="D112" s="10" t="str">
        <f>"布依族"</f>
        <v>布依族</v>
      </c>
      <c r="E112" s="10" t="str">
        <f>"贵州省水城县发耳镇新光村发启组"</f>
        <v>贵州省水城县发耳镇新光村发启组</v>
      </c>
      <c r="F112" s="10" t="str">
        <f t="shared" si="12"/>
        <v>初中</v>
      </c>
      <c r="G112" s="10" t="str">
        <f t="shared" si="13"/>
        <v>299:政治</v>
      </c>
      <c r="H112" s="10"/>
      <c r="I112" s="9" t="s">
        <v>29</v>
      </c>
      <c r="J112" s="13">
        <v>83.94</v>
      </c>
      <c r="K112" s="14">
        <v>5</v>
      </c>
      <c r="L112" s="16" t="s">
        <v>15</v>
      </c>
    </row>
    <row r="113" s="4" customFormat="1" ht="33" customHeight="1" spans="1:12">
      <c r="A113" s="10">
        <v>110</v>
      </c>
      <c r="B113" s="10" t="str">
        <f>"查启市"</f>
        <v>查启市</v>
      </c>
      <c r="C113" s="10" t="str">
        <f>"女        "</f>
        <v>女        </v>
      </c>
      <c r="D113" s="10" t="str">
        <f>"布依族"</f>
        <v>布依族</v>
      </c>
      <c r="E113" s="18" t="s">
        <v>30</v>
      </c>
      <c r="F113" s="10" t="str">
        <f t="shared" si="12"/>
        <v>初中</v>
      </c>
      <c r="G113" s="10" t="str">
        <f t="shared" si="13"/>
        <v>299:政治</v>
      </c>
      <c r="H113" s="10"/>
      <c r="I113" s="9" t="s">
        <v>29</v>
      </c>
      <c r="J113" s="13">
        <v>83.7</v>
      </c>
      <c r="K113" s="10">
        <v>6</v>
      </c>
      <c r="L113" s="16"/>
    </row>
    <row r="114" s="4" customFormat="1" ht="33" customHeight="1" spans="1:12">
      <c r="A114" s="10">
        <v>111</v>
      </c>
      <c r="B114" s="10" t="str">
        <f>"梁玉飞"</f>
        <v>梁玉飞</v>
      </c>
      <c r="C114" s="10" t="str">
        <f>"男        "</f>
        <v>男        </v>
      </c>
      <c r="D114" s="10" t="str">
        <f>"汉族"</f>
        <v>汉族</v>
      </c>
      <c r="E114" s="10" t="str">
        <f>"贵州省兴义市捧乍镇偏坡村九组18号"</f>
        <v>贵州省兴义市捧乍镇偏坡村九组18号</v>
      </c>
      <c r="F114" s="10" t="str">
        <f t="shared" si="12"/>
        <v>初中</v>
      </c>
      <c r="G114" s="10" t="str">
        <f t="shared" si="13"/>
        <v>299:政治</v>
      </c>
      <c r="H114" s="10"/>
      <c r="I114" s="9" t="s">
        <v>29</v>
      </c>
      <c r="J114" s="13">
        <v>82.58</v>
      </c>
      <c r="K114" s="10">
        <v>7</v>
      </c>
      <c r="L114" s="16"/>
    </row>
    <row r="115" s="4" customFormat="1" ht="33" customHeight="1" spans="1:12">
      <c r="A115" s="10">
        <v>112</v>
      </c>
      <c r="B115" s="10" t="str">
        <f>"马家媛"</f>
        <v>马家媛</v>
      </c>
      <c r="C115" s="10" t="str">
        <f>"女        "</f>
        <v>女        </v>
      </c>
      <c r="D115" s="10" t="str">
        <f>"汉族"</f>
        <v>汉族</v>
      </c>
      <c r="E115" s="10" t="str">
        <f>"云南省文山壮族苗族自治州砚山县江那镇砚顺小区"</f>
        <v>云南省文山壮族苗族自治州砚山县江那镇砚顺小区</v>
      </c>
      <c r="F115" s="10" t="str">
        <f t="shared" si="12"/>
        <v>初中</v>
      </c>
      <c r="G115" s="10" t="str">
        <f t="shared" si="13"/>
        <v>299:政治</v>
      </c>
      <c r="H115" s="10"/>
      <c r="I115" s="9" t="s">
        <v>29</v>
      </c>
      <c r="J115" s="13">
        <v>82.54</v>
      </c>
      <c r="K115" s="10">
        <v>8</v>
      </c>
      <c r="L115" s="16"/>
    </row>
    <row r="116" s="4" customFormat="1" ht="33" customHeight="1" spans="1:12">
      <c r="A116" s="10">
        <v>113</v>
      </c>
      <c r="B116" s="10" t="str">
        <f>"张红伟"</f>
        <v>张红伟</v>
      </c>
      <c r="C116" s="10" t="str">
        <f>"男        "</f>
        <v>男        </v>
      </c>
      <c r="D116" s="10" t="str">
        <f>"傣族"</f>
        <v>傣族</v>
      </c>
      <c r="E116" s="10" t="str">
        <f>"云南省红河哈尼族彝族自治州弥勒市朋普镇白土凹村"</f>
        <v>云南省红河哈尼族彝族自治州弥勒市朋普镇白土凹村</v>
      </c>
      <c r="F116" s="10" t="str">
        <f t="shared" si="12"/>
        <v>初中</v>
      </c>
      <c r="G116" s="10" t="str">
        <f t="shared" si="13"/>
        <v>299:政治</v>
      </c>
      <c r="H116" s="10"/>
      <c r="I116" s="9" t="s">
        <v>29</v>
      </c>
      <c r="J116" s="13">
        <v>82.42</v>
      </c>
      <c r="K116" s="10">
        <v>9</v>
      </c>
      <c r="L116" s="16"/>
    </row>
    <row r="117" s="4" customFormat="1" ht="33" customHeight="1" spans="1:12">
      <c r="A117" s="10">
        <v>114</v>
      </c>
      <c r="B117" s="10" t="str">
        <f>"罗朝凤"</f>
        <v>罗朝凤</v>
      </c>
      <c r="C117" s="10" t="str">
        <f>"女        "</f>
        <v>女        </v>
      </c>
      <c r="D117" s="10" t="str">
        <f>"布依族"</f>
        <v>布依族</v>
      </c>
      <c r="E117" s="10" t="str">
        <f>"贵州省册亨县者楼镇羊场村冗冲组"</f>
        <v>贵州省册亨县者楼镇羊场村冗冲组</v>
      </c>
      <c r="F117" s="10" t="str">
        <f t="shared" si="12"/>
        <v>初中</v>
      </c>
      <c r="G117" s="10" t="str">
        <f t="shared" si="13"/>
        <v>299:政治</v>
      </c>
      <c r="H117" s="10"/>
      <c r="I117" s="9" t="s">
        <v>29</v>
      </c>
      <c r="J117" s="13">
        <v>82.4</v>
      </c>
      <c r="K117" s="10">
        <v>10</v>
      </c>
      <c r="L117" s="16"/>
    </row>
    <row r="118" s="4" customFormat="1" ht="33" customHeight="1" spans="1:12">
      <c r="A118" s="10">
        <v>115</v>
      </c>
      <c r="B118" s="10" t="str">
        <f>"李泰赟"</f>
        <v>李泰赟</v>
      </c>
      <c r="C118" s="10" t="str">
        <f>"女        "</f>
        <v>女        </v>
      </c>
      <c r="D118" s="10" t="str">
        <f>"汉族"</f>
        <v>汉族</v>
      </c>
      <c r="E118" s="10" t="str">
        <f>"贵州省招堤街道办事处新安镇关桥村瓦窑山组"</f>
        <v>贵州省招堤街道办事处新安镇关桥村瓦窑山组</v>
      </c>
      <c r="F118" s="10" t="str">
        <f t="shared" si="12"/>
        <v>初中</v>
      </c>
      <c r="G118" s="10" t="str">
        <f t="shared" si="13"/>
        <v>299:政治</v>
      </c>
      <c r="H118" s="10"/>
      <c r="I118" s="9" t="s">
        <v>29</v>
      </c>
      <c r="J118" s="13">
        <v>82.36</v>
      </c>
      <c r="K118" s="10">
        <v>11</v>
      </c>
      <c r="L118" s="16"/>
    </row>
    <row r="119" s="4" customFormat="1" ht="33" customHeight="1" spans="1:12">
      <c r="A119" s="10">
        <v>116</v>
      </c>
      <c r="B119" s="10" t="str">
        <f>"张仕米"</f>
        <v>张仕米</v>
      </c>
      <c r="C119" s="10" t="str">
        <f>"女        "</f>
        <v>女        </v>
      </c>
      <c r="D119" s="10" t="str">
        <f>"壮族"</f>
        <v>壮族</v>
      </c>
      <c r="E119" s="10" t="str">
        <f>"云南省文山州砚山县八嘎乡先嘎村"</f>
        <v>云南省文山州砚山县八嘎乡先嘎村</v>
      </c>
      <c r="F119" s="10" t="str">
        <f t="shared" si="12"/>
        <v>初中</v>
      </c>
      <c r="G119" s="10" t="str">
        <f t="shared" si="13"/>
        <v>299:政治</v>
      </c>
      <c r="H119" s="10"/>
      <c r="I119" s="9" t="s">
        <v>29</v>
      </c>
      <c r="J119" s="13">
        <v>82.32</v>
      </c>
      <c r="K119" s="10">
        <v>12</v>
      </c>
      <c r="L119" s="16"/>
    </row>
    <row r="120" s="4" customFormat="1" ht="33" customHeight="1" spans="1:12">
      <c r="A120" s="10">
        <v>117</v>
      </c>
      <c r="B120" s="10" t="str">
        <f>"王志文"</f>
        <v>王志文</v>
      </c>
      <c r="C120" s="10" t="str">
        <f>"男        "</f>
        <v>男        </v>
      </c>
      <c r="D120" s="10" t="str">
        <f>"汉族"</f>
        <v>汉族</v>
      </c>
      <c r="E120" s="10" t="str">
        <f>"云南省宣威市得禄乡迭那村委会翻山村53号"</f>
        <v>云南省宣威市得禄乡迭那村委会翻山村53号</v>
      </c>
      <c r="F120" s="10" t="str">
        <f t="shared" si="12"/>
        <v>初中</v>
      </c>
      <c r="G120" s="10" t="str">
        <f t="shared" si="13"/>
        <v>299:政治</v>
      </c>
      <c r="H120" s="10"/>
      <c r="I120" s="9" t="s">
        <v>29</v>
      </c>
      <c r="J120" s="13">
        <v>82.3</v>
      </c>
      <c r="K120" s="10">
        <v>13</v>
      </c>
      <c r="L120" s="16"/>
    </row>
    <row r="121" s="4" customFormat="1" ht="33" customHeight="1" spans="1:12">
      <c r="A121" s="10">
        <v>118</v>
      </c>
      <c r="B121" s="10" t="str">
        <f>"李安鑫"</f>
        <v>李安鑫</v>
      </c>
      <c r="C121" s="10" t="str">
        <f>"男        "</f>
        <v>男        </v>
      </c>
      <c r="D121" s="10" t="str">
        <f>"汉族"</f>
        <v>汉族</v>
      </c>
      <c r="E121" s="10" t="str">
        <f>"贵州省赫章县六曲河镇燕子村各燕组"</f>
        <v>贵州省赫章县六曲河镇燕子村各燕组</v>
      </c>
      <c r="F121" s="10" t="str">
        <f t="shared" si="12"/>
        <v>初中</v>
      </c>
      <c r="G121" s="10" t="str">
        <f t="shared" si="13"/>
        <v>299:政治</v>
      </c>
      <c r="H121" s="10"/>
      <c r="I121" s="9" t="s">
        <v>29</v>
      </c>
      <c r="J121" s="13">
        <v>82.16</v>
      </c>
      <c r="K121" s="10">
        <v>14</v>
      </c>
      <c r="L121" s="16"/>
    </row>
    <row r="122" s="4" customFormat="1" ht="33" customHeight="1" spans="1:12">
      <c r="A122" s="10">
        <v>119</v>
      </c>
      <c r="B122" s="10" t="str">
        <f>"熊东秀"</f>
        <v>熊东秀</v>
      </c>
      <c r="C122" s="10" t="str">
        <f>"女        "</f>
        <v>女        </v>
      </c>
      <c r="D122" s="10" t="str">
        <f>"壮族"</f>
        <v>壮族</v>
      </c>
      <c r="E122" s="10" t="str">
        <f>"广西西林县马蚌镇武定村武定屯"</f>
        <v>广西西林县马蚌镇武定村武定屯</v>
      </c>
      <c r="F122" s="10" t="str">
        <f t="shared" si="12"/>
        <v>初中</v>
      </c>
      <c r="G122" s="10" t="str">
        <f t="shared" si="13"/>
        <v>299:政治</v>
      </c>
      <c r="H122" s="10"/>
      <c r="I122" s="9" t="s">
        <v>29</v>
      </c>
      <c r="J122" s="13">
        <v>81.48</v>
      </c>
      <c r="K122" s="10">
        <v>15</v>
      </c>
      <c r="L122" s="16"/>
    </row>
    <row r="123" s="4" customFormat="1" ht="33" customHeight="1" spans="1:12">
      <c r="A123" s="10">
        <v>120</v>
      </c>
      <c r="B123" s="10" t="str">
        <f>"施国樑"</f>
        <v>施国樑</v>
      </c>
      <c r="C123" s="10" t="str">
        <f>"男        "</f>
        <v>男        </v>
      </c>
      <c r="D123" s="10" t="str">
        <f>"汉族"</f>
        <v>汉族</v>
      </c>
      <c r="E123" s="10" t="str">
        <f>"云南省昆明市东川区红土地镇大坪子村三组38号"</f>
        <v>云南省昆明市东川区红土地镇大坪子村三组38号</v>
      </c>
      <c r="F123" s="10" t="str">
        <f t="shared" si="12"/>
        <v>初中</v>
      </c>
      <c r="G123" s="10" t="str">
        <f t="shared" si="13"/>
        <v>299:政治</v>
      </c>
      <c r="H123" s="10"/>
      <c r="I123" s="9" t="s">
        <v>29</v>
      </c>
      <c r="J123" s="13">
        <v>81.3</v>
      </c>
      <c r="K123" s="10">
        <v>16</v>
      </c>
      <c r="L123" s="16"/>
    </row>
    <row r="124" s="4" customFormat="1" ht="33" customHeight="1" spans="1:12">
      <c r="A124" s="10">
        <v>121</v>
      </c>
      <c r="B124" s="10" t="str">
        <f>"韦国忠"</f>
        <v>韦国忠</v>
      </c>
      <c r="C124" s="10" t="str">
        <f>"男        "</f>
        <v>男        </v>
      </c>
      <c r="D124" s="10" t="str">
        <f>"布依族"</f>
        <v>布依族</v>
      </c>
      <c r="E124" s="10" t="str">
        <f>"贵州省望谟县复兴镇坝秧村二组"</f>
        <v>贵州省望谟县复兴镇坝秧村二组</v>
      </c>
      <c r="F124" s="10" t="str">
        <f t="shared" si="12"/>
        <v>初中</v>
      </c>
      <c r="G124" s="10" t="str">
        <f t="shared" si="13"/>
        <v>299:政治</v>
      </c>
      <c r="H124" s="10"/>
      <c r="I124" s="9" t="s">
        <v>29</v>
      </c>
      <c r="J124" s="13">
        <v>80.28</v>
      </c>
      <c r="K124" s="10">
        <v>17</v>
      </c>
      <c r="L124" s="16"/>
    </row>
    <row r="125" s="4" customFormat="1" ht="33" customHeight="1" spans="1:12">
      <c r="A125" s="10">
        <v>122</v>
      </c>
      <c r="B125" s="10" t="str">
        <f>"马文刚"</f>
        <v>马文刚</v>
      </c>
      <c r="C125" s="10" t="str">
        <f>"男        "</f>
        <v>男        </v>
      </c>
      <c r="D125" s="10" t="str">
        <f>"汉族"</f>
        <v>汉族</v>
      </c>
      <c r="E125" s="10" t="str">
        <f>"云南省曲靖市陆良县芳华镇小雨堡村72号"</f>
        <v>云南省曲靖市陆良县芳华镇小雨堡村72号</v>
      </c>
      <c r="F125" s="10" t="str">
        <f t="shared" si="12"/>
        <v>初中</v>
      </c>
      <c r="G125" s="10" t="str">
        <f t="shared" si="13"/>
        <v>299:政治</v>
      </c>
      <c r="H125" s="10"/>
      <c r="I125" s="9" t="s">
        <v>29</v>
      </c>
      <c r="J125" s="13">
        <v>78.2</v>
      </c>
      <c r="K125" s="10">
        <v>18</v>
      </c>
      <c r="L125" s="16"/>
    </row>
    <row r="126" s="4" customFormat="1" ht="33" customHeight="1" spans="1:12">
      <c r="A126" s="10">
        <v>123</v>
      </c>
      <c r="B126" s="10" t="str">
        <f>"胡昌文"</f>
        <v>胡昌文</v>
      </c>
      <c r="C126" s="10" t="str">
        <f>"男        "</f>
        <v>男        </v>
      </c>
      <c r="D126" s="10" t="str">
        <f>"汉族"</f>
        <v>汉族</v>
      </c>
      <c r="E126" s="10" t="str">
        <f>"云南省文山壮族苗族自治州西畴县董马乡铺子村民委坝子"</f>
        <v>云南省文山壮族苗族自治州西畴县董马乡铺子村民委坝子</v>
      </c>
      <c r="F126" s="10" t="str">
        <f t="shared" si="12"/>
        <v>初中</v>
      </c>
      <c r="G126" s="10" t="str">
        <f t="shared" si="13"/>
        <v>299:政治</v>
      </c>
      <c r="H126" s="10"/>
      <c r="I126" s="9" t="s">
        <v>29</v>
      </c>
      <c r="J126" s="13">
        <v>77.64</v>
      </c>
      <c r="K126" s="10">
        <v>19</v>
      </c>
      <c r="L126" s="16"/>
    </row>
    <row r="127" s="4" customFormat="1" ht="33" customHeight="1" spans="1:12">
      <c r="A127" s="10">
        <v>124</v>
      </c>
      <c r="B127" s="19" t="str">
        <f>"贺倩倩"</f>
        <v>贺倩倩</v>
      </c>
      <c r="C127" s="19" t="str">
        <f>"女        "</f>
        <v>女        </v>
      </c>
      <c r="D127" s="19" t="str">
        <f>"布依族"</f>
        <v>布依族</v>
      </c>
      <c r="E127" s="19" t="str">
        <f>"贵州省安龙县万峰湖纳赖村拉然沟"</f>
        <v>贵州省安龙县万峰湖纳赖村拉然沟</v>
      </c>
      <c r="F127" s="19" t="str">
        <f t="shared" si="12"/>
        <v>初中</v>
      </c>
      <c r="G127" s="19" t="str">
        <f t="shared" ref="G127:G147" si="14">"206:历史"</f>
        <v>206:历史</v>
      </c>
      <c r="H127" s="19"/>
      <c r="I127" s="20" t="s">
        <v>31</v>
      </c>
      <c r="J127" s="21">
        <v>85.63</v>
      </c>
      <c r="K127" s="22">
        <v>1</v>
      </c>
      <c r="L127" s="16" t="s">
        <v>15</v>
      </c>
    </row>
    <row r="128" s="4" customFormat="1" ht="33" customHeight="1" spans="1:12">
      <c r="A128" s="10">
        <v>125</v>
      </c>
      <c r="B128" s="19" t="str">
        <f>"高曼琪"</f>
        <v>高曼琪</v>
      </c>
      <c r="C128" s="19" t="str">
        <f>"女        "</f>
        <v>女        </v>
      </c>
      <c r="D128" s="19" t="str">
        <f>"汉族"</f>
        <v>汉族</v>
      </c>
      <c r="E128" s="19" t="str">
        <f>"云南省曲靖市富源县黄泥河镇阿汪村委会问土村"</f>
        <v>云南省曲靖市富源县黄泥河镇阿汪村委会问土村</v>
      </c>
      <c r="F128" s="19" t="str">
        <f t="shared" si="12"/>
        <v>初中</v>
      </c>
      <c r="G128" s="19" t="str">
        <f t="shared" si="14"/>
        <v>206:历史</v>
      </c>
      <c r="H128" s="19"/>
      <c r="I128" s="20" t="s">
        <v>31</v>
      </c>
      <c r="J128" s="21">
        <v>85.35</v>
      </c>
      <c r="K128" s="22">
        <v>2</v>
      </c>
      <c r="L128" s="16" t="s">
        <v>15</v>
      </c>
    </row>
    <row r="129" s="4" customFormat="1" ht="33" customHeight="1" spans="1:12">
      <c r="A129" s="10">
        <v>126</v>
      </c>
      <c r="B129" s="19" t="str">
        <f>"李路强"</f>
        <v>李路强</v>
      </c>
      <c r="C129" s="19" t="str">
        <f>"男        "</f>
        <v>男        </v>
      </c>
      <c r="D129" s="19" t="str">
        <f>"汉族"</f>
        <v>汉族</v>
      </c>
      <c r="E129" s="19" t="s">
        <v>17</v>
      </c>
      <c r="F129" s="19" t="str">
        <f t="shared" si="12"/>
        <v>初中</v>
      </c>
      <c r="G129" s="19" t="str">
        <f t="shared" si="14"/>
        <v>206:历史</v>
      </c>
      <c r="H129" s="19"/>
      <c r="I129" s="20" t="s">
        <v>31</v>
      </c>
      <c r="J129" s="21">
        <v>85.24</v>
      </c>
      <c r="K129" s="22">
        <v>3</v>
      </c>
      <c r="L129" s="16" t="s">
        <v>15</v>
      </c>
    </row>
    <row r="130" s="4" customFormat="1" ht="33" customHeight="1" spans="1:12">
      <c r="A130" s="10">
        <v>127</v>
      </c>
      <c r="B130" s="19" t="str">
        <f>"陆大班"</f>
        <v>陆大班</v>
      </c>
      <c r="C130" s="19" t="str">
        <f>"男        "</f>
        <v>男        </v>
      </c>
      <c r="D130" s="19" t="str">
        <f>"布依族"</f>
        <v>布依族</v>
      </c>
      <c r="E130" s="19" t="str">
        <f>"贵州省晴隆县中云镇新红村桥边组"</f>
        <v>贵州省晴隆县中云镇新红村桥边组</v>
      </c>
      <c r="F130" s="19" t="str">
        <f t="shared" si="12"/>
        <v>初中</v>
      </c>
      <c r="G130" s="19" t="str">
        <f t="shared" si="14"/>
        <v>206:历史</v>
      </c>
      <c r="H130" s="19"/>
      <c r="I130" s="20" t="s">
        <v>31</v>
      </c>
      <c r="J130" s="21">
        <v>84.96</v>
      </c>
      <c r="K130" s="22">
        <v>4</v>
      </c>
      <c r="L130" s="16" t="s">
        <v>15</v>
      </c>
    </row>
    <row r="131" s="4" customFormat="1" ht="33" customHeight="1" spans="1:12">
      <c r="A131" s="10">
        <v>128</v>
      </c>
      <c r="B131" s="19" t="str">
        <f>"贺文美"</f>
        <v>贺文美</v>
      </c>
      <c r="C131" s="19" t="str">
        <f>"女        "</f>
        <v>女        </v>
      </c>
      <c r="D131" s="19" t="str">
        <f>"壮族"</f>
        <v>壮族</v>
      </c>
      <c r="E131" s="19" t="str">
        <f>"广西百色市隆林县新州镇迎宾路消防队后面第三家"</f>
        <v>广西百色市隆林县新州镇迎宾路消防队后面第三家</v>
      </c>
      <c r="F131" s="19" t="str">
        <f t="shared" si="12"/>
        <v>初中</v>
      </c>
      <c r="G131" s="19" t="str">
        <f t="shared" si="14"/>
        <v>206:历史</v>
      </c>
      <c r="H131" s="19"/>
      <c r="I131" s="20" t="s">
        <v>31</v>
      </c>
      <c r="J131" s="21">
        <v>84.87</v>
      </c>
      <c r="K131" s="22">
        <v>5</v>
      </c>
      <c r="L131" s="16" t="s">
        <v>15</v>
      </c>
    </row>
    <row r="132" s="4" customFormat="1" ht="33" customHeight="1" spans="1:12">
      <c r="A132" s="10">
        <v>129</v>
      </c>
      <c r="B132" s="19" t="str">
        <f>"张通"</f>
        <v>张通</v>
      </c>
      <c r="C132" s="19" t="str">
        <f>"男        "</f>
        <v>男        </v>
      </c>
      <c r="D132" s="19" t="str">
        <f>"汉族"</f>
        <v>汉族</v>
      </c>
      <c r="E132" s="19" t="str">
        <f>"云南省曲靖曲靖市富源县大河镇起铺村委会起铺村"</f>
        <v>云南省曲靖曲靖市富源县大河镇起铺村委会起铺村</v>
      </c>
      <c r="F132" s="19" t="str">
        <f t="shared" si="12"/>
        <v>初中</v>
      </c>
      <c r="G132" s="19" t="str">
        <f t="shared" si="14"/>
        <v>206:历史</v>
      </c>
      <c r="H132" s="19"/>
      <c r="I132" s="20" t="s">
        <v>31</v>
      </c>
      <c r="J132" s="21">
        <v>84.57</v>
      </c>
      <c r="K132" s="24">
        <v>6</v>
      </c>
      <c r="L132" s="16"/>
    </row>
    <row r="133" s="4" customFormat="1" ht="33" customHeight="1" spans="1:12">
      <c r="A133" s="10">
        <v>130</v>
      </c>
      <c r="B133" s="19" t="str">
        <f>"陈春芳"</f>
        <v>陈春芳</v>
      </c>
      <c r="C133" s="19" t="str">
        <f>"女        "</f>
        <v>女        </v>
      </c>
      <c r="D133" s="19" t="str">
        <f>"汉族"</f>
        <v>汉族</v>
      </c>
      <c r="E133" s="19" t="str">
        <f>"贵州省黔西南布依族苗族自治州兴仁县"</f>
        <v>贵州省黔西南布依族苗族自治州兴仁县</v>
      </c>
      <c r="F133" s="19" t="str">
        <f t="shared" si="12"/>
        <v>初中</v>
      </c>
      <c r="G133" s="19" t="str">
        <f t="shared" si="14"/>
        <v>206:历史</v>
      </c>
      <c r="H133" s="19"/>
      <c r="I133" s="20" t="s">
        <v>31</v>
      </c>
      <c r="J133" s="21">
        <v>84.14</v>
      </c>
      <c r="K133" s="24">
        <v>7</v>
      </c>
      <c r="L133" s="16"/>
    </row>
    <row r="134" s="4" customFormat="1" ht="33" customHeight="1" spans="1:12">
      <c r="A134" s="10">
        <v>131</v>
      </c>
      <c r="B134" s="19" t="str">
        <f>"赵烨晓"</f>
        <v>赵烨晓</v>
      </c>
      <c r="C134" s="19" t="str">
        <f>"女        "</f>
        <v>女        </v>
      </c>
      <c r="D134" s="19" t="str">
        <f>"白族"</f>
        <v>白族</v>
      </c>
      <c r="E134" s="19" t="str">
        <f>"云南省大理州剑川县金华镇文榜水古楼75号"</f>
        <v>云南省大理州剑川县金华镇文榜水古楼75号</v>
      </c>
      <c r="F134" s="19" t="str">
        <f t="shared" si="12"/>
        <v>初中</v>
      </c>
      <c r="G134" s="19" t="str">
        <f t="shared" si="14"/>
        <v>206:历史</v>
      </c>
      <c r="H134" s="19"/>
      <c r="I134" s="20" t="s">
        <v>31</v>
      </c>
      <c r="J134" s="21">
        <v>83.93</v>
      </c>
      <c r="K134" s="24">
        <v>8</v>
      </c>
      <c r="L134" s="16"/>
    </row>
    <row r="135" s="4" customFormat="1" ht="33" customHeight="1" spans="1:12">
      <c r="A135" s="10">
        <v>132</v>
      </c>
      <c r="B135" s="19" t="str">
        <f>"周发玉"</f>
        <v>周发玉</v>
      </c>
      <c r="C135" s="19" t="str">
        <f>"男        "</f>
        <v>男        </v>
      </c>
      <c r="D135" s="19" t="str">
        <f>"汉族"</f>
        <v>汉族</v>
      </c>
      <c r="E135" s="19" t="str">
        <f>"云南省曲靖市会泽县待补镇箐门口村"</f>
        <v>云南省曲靖市会泽县待补镇箐门口村</v>
      </c>
      <c r="F135" s="19" t="str">
        <f t="shared" si="12"/>
        <v>初中</v>
      </c>
      <c r="G135" s="19" t="str">
        <f t="shared" si="14"/>
        <v>206:历史</v>
      </c>
      <c r="H135" s="19"/>
      <c r="I135" s="20" t="s">
        <v>31</v>
      </c>
      <c r="J135" s="21">
        <v>83.6</v>
      </c>
      <c r="K135" s="24">
        <v>9</v>
      </c>
      <c r="L135" s="16"/>
    </row>
    <row r="136" s="4" customFormat="1" ht="33" customHeight="1" spans="1:12">
      <c r="A136" s="10">
        <v>133</v>
      </c>
      <c r="B136" s="19" t="str">
        <f>"王霞"</f>
        <v>王霞</v>
      </c>
      <c r="C136" s="19" t="str">
        <f>"女        "</f>
        <v>女        </v>
      </c>
      <c r="D136" s="19" t="str">
        <f>"汉族"</f>
        <v>汉族</v>
      </c>
      <c r="E136" s="19" t="str">
        <f>"云南省曲靖市陆良县龙海乡大新村村委会刘家窝棚村"</f>
        <v>云南省曲靖市陆良县龙海乡大新村村委会刘家窝棚村</v>
      </c>
      <c r="F136" s="19" t="str">
        <f t="shared" si="12"/>
        <v>初中</v>
      </c>
      <c r="G136" s="19" t="str">
        <f t="shared" si="14"/>
        <v>206:历史</v>
      </c>
      <c r="H136" s="19"/>
      <c r="I136" s="20" t="s">
        <v>31</v>
      </c>
      <c r="J136" s="21">
        <v>83.6</v>
      </c>
      <c r="K136" s="24">
        <v>10</v>
      </c>
      <c r="L136" s="16"/>
    </row>
    <row r="137" s="4" customFormat="1" ht="33" customHeight="1" spans="1:12">
      <c r="A137" s="10">
        <v>134</v>
      </c>
      <c r="B137" s="19" t="str">
        <f>"甘正艳"</f>
        <v>甘正艳</v>
      </c>
      <c r="C137" s="19" t="str">
        <f>"女        "</f>
        <v>女        </v>
      </c>
      <c r="D137" s="19" t="str">
        <f>"汉族"</f>
        <v>汉族</v>
      </c>
      <c r="E137" s="19" t="str">
        <f>"隆林县丁兰料市场"</f>
        <v>隆林县丁兰料市场</v>
      </c>
      <c r="F137" s="19" t="str">
        <f t="shared" si="12"/>
        <v>初中</v>
      </c>
      <c r="G137" s="19" t="str">
        <f t="shared" si="14"/>
        <v>206:历史</v>
      </c>
      <c r="H137" s="19"/>
      <c r="I137" s="20" t="s">
        <v>31</v>
      </c>
      <c r="J137" s="21">
        <v>82.89</v>
      </c>
      <c r="K137" s="24">
        <v>11</v>
      </c>
      <c r="L137" s="16"/>
    </row>
    <row r="138" s="4" customFormat="1" ht="33" customHeight="1" spans="1:12">
      <c r="A138" s="10">
        <v>135</v>
      </c>
      <c r="B138" s="19" t="str">
        <f>"代正双"</f>
        <v>代正双</v>
      </c>
      <c r="C138" s="19" t="str">
        <f>"女        "</f>
        <v>女        </v>
      </c>
      <c r="D138" s="19" t="str">
        <f>"汉族"</f>
        <v>汉族</v>
      </c>
      <c r="E138" s="19" t="str">
        <f>"贵州省安龙县新安镇阿皂村湾子组"</f>
        <v>贵州省安龙县新安镇阿皂村湾子组</v>
      </c>
      <c r="F138" s="19" t="str">
        <f t="shared" si="12"/>
        <v>初中</v>
      </c>
      <c r="G138" s="19" t="str">
        <f t="shared" si="14"/>
        <v>206:历史</v>
      </c>
      <c r="H138" s="19"/>
      <c r="I138" s="20" t="s">
        <v>31</v>
      </c>
      <c r="J138" s="21">
        <v>82.52</v>
      </c>
      <c r="K138" s="24">
        <v>12</v>
      </c>
      <c r="L138" s="16"/>
    </row>
    <row r="139" s="4" customFormat="1" ht="33" customHeight="1" spans="1:12">
      <c r="A139" s="10">
        <v>136</v>
      </c>
      <c r="B139" s="19" t="str">
        <f>"张凯"</f>
        <v>张凯</v>
      </c>
      <c r="C139" s="19" t="str">
        <f>"男        "</f>
        <v>男        </v>
      </c>
      <c r="D139" s="19" t="str">
        <f>"基诺族"</f>
        <v>基诺族</v>
      </c>
      <c r="E139" s="19" t="str">
        <f>"贵州省毕节市织金县白泥镇先锋村大寨组"</f>
        <v>贵州省毕节市织金县白泥镇先锋村大寨组</v>
      </c>
      <c r="F139" s="19" t="str">
        <f t="shared" si="12"/>
        <v>初中</v>
      </c>
      <c r="G139" s="19" t="str">
        <f t="shared" si="14"/>
        <v>206:历史</v>
      </c>
      <c r="H139" s="19"/>
      <c r="I139" s="20" t="s">
        <v>31</v>
      </c>
      <c r="J139" s="21">
        <v>82.36</v>
      </c>
      <c r="K139" s="24">
        <v>13</v>
      </c>
      <c r="L139" s="16"/>
    </row>
    <row r="140" s="4" customFormat="1" ht="33" customHeight="1" spans="1:12">
      <c r="A140" s="10">
        <v>137</v>
      </c>
      <c r="B140" s="19" t="str">
        <f>"李自瑞"</f>
        <v>李自瑞</v>
      </c>
      <c r="C140" s="19" t="str">
        <f>"女        "</f>
        <v>女        </v>
      </c>
      <c r="D140" s="19" t="str">
        <f>"汉族"</f>
        <v>汉族</v>
      </c>
      <c r="E140" s="19" t="str">
        <f>"云南省昆明市嵩明县嵩阳镇白鹤村85号"</f>
        <v>云南省昆明市嵩明县嵩阳镇白鹤村85号</v>
      </c>
      <c r="F140" s="19" t="str">
        <f t="shared" si="12"/>
        <v>初中</v>
      </c>
      <c r="G140" s="19" t="str">
        <f t="shared" si="14"/>
        <v>206:历史</v>
      </c>
      <c r="H140" s="19"/>
      <c r="I140" s="20" t="s">
        <v>31</v>
      </c>
      <c r="J140" s="21">
        <v>81.73</v>
      </c>
      <c r="K140" s="24">
        <v>14</v>
      </c>
      <c r="L140" s="16"/>
    </row>
    <row r="141" s="4" customFormat="1" ht="33" customHeight="1" spans="1:12">
      <c r="A141" s="10">
        <v>138</v>
      </c>
      <c r="B141" s="19" t="str">
        <f>"左丹"</f>
        <v>左丹</v>
      </c>
      <c r="C141" s="19" t="str">
        <f>"女        "</f>
        <v>女        </v>
      </c>
      <c r="D141" s="19" t="str">
        <f>"汉族"</f>
        <v>汉族</v>
      </c>
      <c r="E141" s="19" t="str">
        <f>"贵州省贞丰县北盘江镇北盘江村左家屯三组"</f>
        <v>贵州省贞丰县北盘江镇北盘江村左家屯三组</v>
      </c>
      <c r="F141" s="19" t="str">
        <f t="shared" si="12"/>
        <v>初中</v>
      </c>
      <c r="G141" s="19" t="str">
        <f t="shared" si="14"/>
        <v>206:历史</v>
      </c>
      <c r="H141" s="19"/>
      <c r="I141" s="20" t="s">
        <v>31</v>
      </c>
      <c r="J141" s="21">
        <v>81.02</v>
      </c>
      <c r="K141" s="24">
        <v>15</v>
      </c>
      <c r="L141" s="16"/>
    </row>
    <row r="142" s="4" customFormat="1" ht="33" customHeight="1" spans="1:12">
      <c r="A142" s="10">
        <v>139</v>
      </c>
      <c r="B142" s="19" t="str">
        <f>"罗珊珊"</f>
        <v>罗珊珊</v>
      </c>
      <c r="C142" s="19" t="str">
        <f>"女        "</f>
        <v>女        </v>
      </c>
      <c r="D142" s="19" t="str">
        <f>"汉族"</f>
        <v>汉族</v>
      </c>
      <c r="E142" s="19" t="str">
        <f>"云南省玉溪市通海县河西镇罗吉下村"</f>
        <v>云南省玉溪市通海县河西镇罗吉下村</v>
      </c>
      <c r="F142" s="19" t="str">
        <f t="shared" si="12"/>
        <v>初中</v>
      </c>
      <c r="G142" s="19" t="str">
        <f t="shared" si="14"/>
        <v>206:历史</v>
      </c>
      <c r="H142" s="19"/>
      <c r="I142" s="20" t="s">
        <v>31</v>
      </c>
      <c r="J142" s="21">
        <v>80.96</v>
      </c>
      <c r="K142" s="24">
        <v>16</v>
      </c>
      <c r="L142" s="16"/>
    </row>
    <row r="143" s="4" customFormat="1" ht="33" customHeight="1" spans="1:12">
      <c r="A143" s="10">
        <v>140</v>
      </c>
      <c r="B143" s="19" t="str">
        <f>"晏连恩"</f>
        <v>晏连恩</v>
      </c>
      <c r="C143" s="19" t="str">
        <f>"男        "</f>
        <v>男        </v>
      </c>
      <c r="D143" s="19" t="str">
        <f>"汉族"</f>
        <v>汉族</v>
      </c>
      <c r="E143" s="19" t="str">
        <f>"云南省曲靖市富源县营上镇营上村委会大城头村"</f>
        <v>云南省曲靖市富源县营上镇营上村委会大城头村</v>
      </c>
      <c r="F143" s="19" t="str">
        <f t="shared" si="12"/>
        <v>初中</v>
      </c>
      <c r="G143" s="19" t="str">
        <f t="shared" si="14"/>
        <v>206:历史</v>
      </c>
      <c r="H143" s="19"/>
      <c r="I143" s="20" t="s">
        <v>31</v>
      </c>
      <c r="J143" s="21">
        <v>80.31</v>
      </c>
      <c r="K143" s="24">
        <v>17</v>
      </c>
      <c r="L143" s="16"/>
    </row>
    <row r="144" s="4" customFormat="1" ht="33" customHeight="1" spans="1:12">
      <c r="A144" s="10">
        <v>141</v>
      </c>
      <c r="B144" s="19" t="str">
        <f>"张琴"</f>
        <v>张琴</v>
      </c>
      <c r="C144" s="19" t="str">
        <f>"女        "</f>
        <v>女        </v>
      </c>
      <c r="D144" s="19" t="str">
        <f>"布依族"</f>
        <v>布依族</v>
      </c>
      <c r="E144" s="19" t="str">
        <f>"贵州省兴义市三江口镇红落万村小寨组"</f>
        <v>贵州省兴义市三江口镇红落万村小寨组</v>
      </c>
      <c r="F144" s="19" t="str">
        <f t="shared" si="12"/>
        <v>初中</v>
      </c>
      <c r="G144" s="19" t="str">
        <f t="shared" si="14"/>
        <v>206:历史</v>
      </c>
      <c r="H144" s="19"/>
      <c r="I144" s="20" t="s">
        <v>31</v>
      </c>
      <c r="J144" s="21">
        <v>80.2</v>
      </c>
      <c r="K144" s="24">
        <v>18</v>
      </c>
      <c r="L144" s="16"/>
    </row>
    <row r="145" s="4" customFormat="1" ht="33" customHeight="1" spans="1:12">
      <c r="A145" s="10">
        <v>142</v>
      </c>
      <c r="B145" s="19" t="str">
        <f>"王艳"</f>
        <v>王艳</v>
      </c>
      <c r="C145" s="19" t="str">
        <f>"女        "</f>
        <v>女        </v>
      </c>
      <c r="D145" s="19" t="str">
        <f>"苗族"</f>
        <v>苗族</v>
      </c>
      <c r="E145" s="19" t="str">
        <f>"贵州省兴仁县巴铃镇咔嘎寨村田坝组"</f>
        <v>贵州省兴仁县巴铃镇咔嘎寨村田坝组</v>
      </c>
      <c r="F145" s="19" t="str">
        <f t="shared" si="12"/>
        <v>初中</v>
      </c>
      <c r="G145" s="19" t="str">
        <f t="shared" si="14"/>
        <v>206:历史</v>
      </c>
      <c r="H145" s="19"/>
      <c r="I145" s="20" t="s">
        <v>31</v>
      </c>
      <c r="J145" s="21">
        <v>79.47</v>
      </c>
      <c r="K145" s="24">
        <v>19</v>
      </c>
      <c r="L145" s="16"/>
    </row>
    <row r="146" s="4" customFormat="1" ht="33" customHeight="1" spans="1:12">
      <c r="A146" s="10">
        <v>143</v>
      </c>
      <c r="B146" s="19" t="str">
        <f>"夏洪静"</f>
        <v>夏洪静</v>
      </c>
      <c r="C146" s="19" t="str">
        <f>"女        "</f>
        <v>女        </v>
      </c>
      <c r="D146" s="19" t="str">
        <f>"汉族"</f>
        <v>汉族</v>
      </c>
      <c r="E146" s="19" t="str">
        <f>"贵州省遵义市湄潭县天城乡德荣村"</f>
        <v>贵州省遵义市湄潭县天城乡德荣村</v>
      </c>
      <c r="F146" s="19" t="str">
        <f t="shared" si="12"/>
        <v>初中</v>
      </c>
      <c r="G146" s="19" t="str">
        <f t="shared" si="14"/>
        <v>206:历史</v>
      </c>
      <c r="H146" s="19"/>
      <c r="I146" s="20" t="s">
        <v>31</v>
      </c>
      <c r="J146" s="21">
        <v>79.37</v>
      </c>
      <c r="K146" s="24">
        <v>20</v>
      </c>
      <c r="L146" s="16"/>
    </row>
    <row r="147" s="4" customFormat="1" ht="33" customHeight="1" spans="1:12">
      <c r="A147" s="10">
        <v>144</v>
      </c>
      <c r="B147" s="19" t="str">
        <f>"王跃光"</f>
        <v>王跃光</v>
      </c>
      <c r="C147" s="19" t="str">
        <f>"男        "</f>
        <v>男        </v>
      </c>
      <c r="D147" s="19" t="str">
        <f>"布依族"</f>
        <v>布依族</v>
      </c>
      <c r="E147" s="19" t="str">
        <f>"贵州省册亨县威旁乡"</f>
        <v>贵州省册亨县威旁乡</v>
      </c>
      <c r="F147" s="19" t="str">
        <f t="shared" si="12"/>
        <v>初中</v>
      </c>
      <c r="G147" s="19" t="str">
        <f t="shared" si="14"/>
        <v>206:历史</v>
      </c>
      <c r="H147" s="19"/>
      <c r="I147" s="20" t="s">
        <v>31</v>
      </c>
      <c r="J147" s="21" t="s">
        <v>18</v>
      </c>
      <c r="K147" s="24">
        <v>21</v>
      </c>
      <c r="L147" s="16"/>
    </row>
    <row r="148" s="4" customFormat="1" ht="33" customHeight="1" spans="1:12">
      <c r="A148" s="10">
        <v>145</v>
      </c>
      <c r="B148" s="10" t="str">
        <f>"雷树奇"</f>
        <v>雷树奇</v>
      </c>
      <c r="C148" s="10" t="str">
        <f>"男        "</f>
        <v>男        </v>
      </c>
      <c r="D148" s="10" t="str">
        <f>"汉族"</f>
        <v>汉族</v>
      </c>
      <c r="E148" s="10" t="str">
        <f>"广西百色市隆林县者保乡巴内存上过河屯"</f>
        <v>广西百色市隆林县者保乡巴内存上过河屯</v>
      </c>
      <c r="F148" s="10" t="str">
        <f t="shared" si="12"/>
        <v>初中</v>
      </c>
      <c r="G148" s="10" t="str">
        <f t="shared" ref="G148:G154" si="15">"216:信息技术"</f>
        <v>216:信息技术</v>
      </c>
      <c r="H148" s="23"/>
      <c r="I148" s="25" t="s">
        <v>32</v>
      </c>
      <c r="J148" s="26">
        <v>87.2</v>
      </c>
      <c r="K148" s="22">
        <v>1</v>
      </c>
      <c r="L148" s="16" t="s">
        <v>15</v>
      </c>
    </row>
    <row r="149" s="4" customFormat="1" ht="33" customHeight="1" spans="1:12">
      <c r="A149" s="10">
        <v>146</v>
      </c>
      <c r="B149" s="10" t="str">
        <f>"陈娜"</f>
        <v>陈娜</v>
      </c>
      <c r="C149" s="10" t="str">
        <f>"女        "</f>
        <v>女        </v>
      </c>
      <c r="D149" s="10" t="str">
        <f>"苗族"</f>
        <v>苗族</v>
      </c>
      <c r="E149" s="10" t="str">
        <f>"广西百色市隆林各族自治县猪场乡那伟村龙保山社06号"</f>
        <v>广西百色市隆林各族自治县猪场乡那伟村龙保山社06号</v>
      </c>
      <c r="F149" s="10" t="str">
        <f t="shared" si="12"/>
        <v>初中</v>
      </c>
      <c r="G149" s="10" t="str">
        <f t="shared" si="15"/>
        <v>216:信息技术</v>
      </c>
      <c r="H149" s="23"/>
      <c r="I149" s="25" t="s">
        <v>32</v>
      </c>
      <c r="J149" s="26">
        <v>86.5</v>
      </c>
      <c r="K149" s="22">
        <v>2</v>
      </c>
      <c r="L149" s="16" t="s">
        <v>15</v>
      </c>
    </row>
    <row r="150" s="4" customFormat="1" ht="33" customHeight="1" spans="1:12">
      <c r="A150" s="10">
        <v>147</v>
      </c>
      <c r="B150" s="10" t="str">
        <f>"梁立成"</f>
        <v>梁立成</v>
      </c>
      <c r="C150" s="10" t="str">
        <f t="shared" ref="C150:C155" si="16">"男        "</f>
        <v>男        </v>
      </c>
      <c r="D150" s="10" t="str">
        <f>"壮族"</f>
        <v>壮族</v>
      </c>
      <c r="E150" s="10" t="str">
        <f>"广西隆林县新州镇新兴东巷438号"</f>
        <v>广西隆林县新州镇新兴东巷438号</v>
      </c>
      <c r="F150" s="10" t="str">
        <f t="shared" si="12"/>
        <v>初中</v>
      </c>
      <c r="G150" s="10" t="str">
        <f t="shared" si="15"/>
        <v>216:信息技术</v>
      </c>
      <c r="H150" s="23"/>
      <c r="I150" s="25" t="s">
        <v>32</v>
      </c>
      <c r="J150" s="26">
        <v>85.5</v>
      </c>
      <c r="K150" s="22">
        <v>3</v>
      </c>
      <c r="L150" s="16" t="s">
        <v>15</v>
      </c>
    </row>
    <row r="151" s="4" customFormat="1" ht="33" customHeight="1" spans="1:12">
      <c r="A151" s="10">
        <v>148</v>
      </c>
      <c r="B151" s="10" t="str">
        <f>"尹帮词"</f>
        <v>尹帮词</v>
      </c>
      <c r="C151" s="10" t="str">
        <f t="shared" si="16"/>
        <v>男        </v>
      </c>
      <c r="D151" s="10" t="str">
        <f>"汉族"</f>
        <v>汉族</v>
      </c>
      <c r="E151" s="10" t="str">
        <f>"广西百色市隆林县"</f>
        <v>广西百色市隆林县</v>
      </c>
      <c r="F151" s="10" t="str">
        <f t="shared" si="12"/>
        <v>初中</v>
      </c>
      <c r="G151" s="10" t="str">
        <f t="shared" si="15"/>
        <v>216:信息技术</v>
      </c>
      <c r="H151" s="23"/>
      <c r="I151" s="25" t="s">
        <v>32</v>
      </c>
      <c r="J151" s="26">
        <v>84.5</v>
      </c>
      <c r="K151" s="22">
        <v>4</v>
      </c>
      <c r="L151" s="16" t="s">
        <v>15</v>
      </c>
    </row>
    <row r="152" s="4" customFormat="1" ht="33" customHeight="1" spans="1:12">
      <c r="A152" s="10">
        <v>149</v>
      </c>
      <c r="B152" s="10" t="str">
        <f>"何强"</f>
        <v>何强</v>
      </c>
      <c r="C152" s="10" t="str">
        <f t="shared" si="16"/>
        <v>男        </v>
      </c>
      <c r="D152" s="10" t="str">
        <f>"壮族"</f>
        <v>壮族</v>
      </c>
      <c r="E152" s="10" t="str">
        <f>"云南省文山州广南县那洒镇长箐村委会下革乍"</f>
        <v>云南省文山州广南县那洒镇长箐村委会下革乍</v>
      </c>
      <c r="F152" s="10" t="str">
        <f t="shared" si="12"/>
        <v>初中</v>
      </c>
      <c r="G152" s="10" t="str">
        <f t="shared" si="15"/>
        <v>216:信息技术</v>
      </c>
      <c r="H152" s="23"/>
      <c r="I152" s="25" t="s">
        <v>32</v>
      </c>
      <c r="J152" s="26">
        <v>83.9</v>
      </c>
      <c r="K152" s="22">
        <v>5</v>
      </c>
      <c r="L152" s="16" t="s">
        <v>15</v>
      </c>
    </row>
    <row r="153" s="4" customFormat="1" ht="33" customHeight="1" spans="1:12">
      <c r="A153" s="10">
        <v>150</v>
      </c>
      <c r="B153" s="10" t="str">
        <f>"罗又铭"</f>
        <v>罗又铭</v>
      </c>
      <c r="C153" s="10" t="str">
        <f t="shared" si="16"/>
        <v>男        </v>
      </c>
      <c r="D153" s="10" t="str">
        <f>"汉族"</f>
        <v>汉族</v>
      </c>
      <c r="E153" s="10" t="str">
        <f>"广西省南宁市兴宁区望州南路望州南小区11栋1单元402"</f>
        <v>广西省南宁市兴宁区望州南路望州南小区11栋1单元402</v>
      </c>
      <c r="F153" s="10" t="str">
        <f t="shared" si="12"/>
        <v>初中</v>
      </c>
      <c r="G153" s="10" t="str">
        <f t="shared" si="15"/>
        <v>216:信息技术</v>
      </c>
      <c r="H153" s="23"/>
      <c r="I153" s="25" t="s">
        <v>32</v>
      </c>
      <c r="J153" s="26">
        <v>79.6</v>
      </c>
      <c r="K153" s="24">
        <v>6</v>
      </c>
      <c r="L153" s="16"/>
    </row>
    <row r="154" s="4" customFormat="1" ht="33" customHeight="1" spans="1:12">
      <c r="A154" s="10">
        <v>151</v>
      </c>
      <c r="B154" s="10" t="str">
        <f>"马春贵"</f>
        <v>马春贵</v>
      </c>
      <c r="C154" s="10" t="str">
        <f t="shared" si="16"/>
        <v>男        </v>
      </c>
      <c r="D154" s="10" t="str">
        <f>"苗族"</f>
        <v>苗族</v>
      </c>
      <c r="E154" s="10" t="str">
        <f>"云南省文山壮族苗族自治州州马关县小坝子镇半坡村委会"</f>
        <v>云南省文山壮族苗族自治州州马关县小坝子镇半坡村委会</v>
      </c>
      <c r="F154" s="10" t="str">
        <f t="shared" si="12"/>
        <v>初中</v>
      </c>
      <c r="G154" s="10" t="str">
        <f t="shared" si="15"/>
        <v>216:信息技术</v>
      </c>
      <c r="H154" s="23"/>
      <c r="I154" s="25" t="s">
        <v>32</v>
      </c>
      <c r="J154" s="27" t="s">
        <v>18</v>
      </c>
      <c r="K154" s="24">
        <v>7</v>
      </c>
      <c r="L154" s="16"/>
    </row>
    <row r="155" s="4" customFormat="1" ht="33" customHeight="1" spans="1:12">
      <c r="A155" s="10">
        <v>152</v>
      </c>
      <c r="B155" s="10" t="str">
        <f>"黄益祥"</f>
        <v>黄益祥</v>
      </c>
      <c r="C155" s="10" t="str">
        <f t="shared" si="16"/>
        <v>男        </v>
      </c>
      <c r="D155" s="10" t="str">
        <f>"壮族"</f>
        <v>壮族</v>
      </c>
      <c r="E155" s="10" t="str">
        <f>"广西壮族自治区隆林各种自治县者浪乡坡合村弄王屯上队"</f>
        <v>广西壮族自治区隆林各种自治县者浪乡坡合村弄王屯上队</v>
      </c>
      <c r="F155" s="10" t="str">
        <f t="shared" ref="F155:F167" si="17">"小学"</f>
        <v>小学</v>
      </c>
      <c r="G155" s="10" t="str">
        <f t="shared" ref="G155:G167" si="18">"110:信息技术"</f>
        <v>110:信息技术</v>
      </c>
      <c r="H155" s="23"/>
      <c r="I155" s="25" t="s">
        <v>32</v>
      </c>
      <c r="J155" s="26">
        <v>88.5</v>
      </c>
      <c r="K155" s="22">
        <v>1</v>
      </c>
      <c r="L155" s="16" t="s">
        <v>15</v>
      </c>
    </row>
    <row r="156" s="4" customFormat="1" ht="33" customHeight="1" spans="1:12">
      <c r="A156" s="10">
        <v>153</v>
      </c>
      <c r="B156" s="10" t="str">
        <f>"李正燕"</f>
        <v>李正燕</v>
      </c>
      <c r="C156" s="10" t="str">
        <f>"女        "</f>
        <v>女        </v>
      </c>
      <c r="D156" s="10" t="str">
        <f>"汉族"</f>
        <v>汉族</v>
      </c>
      <c r="E156" s="10" t="str">
        <f>"云南省曲靖市罗平县蟠龙兰庭"</f>
        <v>云南省曲靖市罗平县蟠龙兰庭</v>
      </c>
      <c r="F156" s="10" t="str">
        <f t="shared" si="17"/>
        <v>小学</v>
      </c>
      <c r="G156" s="10" t="str">
        <f t="shared" si="18"/>
        <v>110:信息技术</v>
      </c>
      <c r="H156" s="23"/>
      <c r="I156" s="25" t="s">
        <v>32</v>
      </c>
      <c r="J156" s="26">
        <v>88.3</v>
      </c>
      <c r="K156" s="22">
        <v>2</v>
      </c>
      <c r="L156" s="16" t="s">
        <v>15</v>
      </c>
    </row>
    <row r="157" s="4" customFormat="1" ht="33" customHeight="1" spans="1:12">
      <c r="A157" s="10">
        <v>154</v>
      </c>
      <c r="B157" s="10" t="str">
        <f>"罗牢琳"</f>
        <v>罗牢琳</v>
      </c>
      <c r="C157" s="10" t="str">
        <f>"女        "</f>
        <v>女        </v>
      </c>
      <c r="D157" s="10" t="str">
        <f>"苗族"</f>
        <v>苗族</v>
      </c>
      <c r="E157" s="10" t="str">
        <f>"广西百色市隆林县德峨镇水井村龙吓屯"</f>
        <v>广西百色市隆林县德峨镇水井村龙吓屯</v>
      </c>
      <c r="F157" s="10" t="str">
        <f t="shared" si="17"/>
        <v>小学</v>
      </c>
      <c r="G157" s="10" t="str">
        <f t="shared" si="18"/>
        <v>110:信息技术</v>
      </c>
      <c r="H157" s="23"/>
      <c r="I157" s="25" t="s">
        <v>32</v>
      </c>
      <c r="J157" s="26">
        <v>86.68</v>
      </c>
      <c r="K157" s="22">
        <v>3</v>
      </c>
      <c r="L157" s="16" t="s">
        <v>15</v>
      </c>
    </row>
    <row r="158" s="4" customFormat="1" ht="33" customHeight="1" spans="1:12">
      <c r="A158" s="10">
        <v>155</v>
      </c>
      <c r="B158" s="10" t="str">
        <f>"满所建"</f>
        <v>满所建</v>
      </c>
      <c r="C158" s="10" t="str">
        <f>"男        "</f>
        <v>男        </v>
      </c>
      <c r="D158" s="10" t="str">
        <f>"汉族"</f>
        <v>汉族</v>
      </c>
      <c r="E158" s="10" t="str">
        <f>"云南省曲靖市陆良县龙海乡大新村村委会刘家窝棚村"</f>
        <v>云南省曲靖市陆良县龙海乡大新村村委会刘家窝棚村</v>
      </c>
      <c r="F158" s="10" t="str">
        <f t="shared" si="17"/>
        <v>小学</v>
      </c>
      <c r="G158" s="10" t="str">
        <f t="shared" si="18"/>
        <v>110:信息技术</v>
      </c>
      <c r="H158" s="23"/>
      <c r="I158" s="25" t="s">
        <v>32</v>
      </c>
      <c r="J158" s="26">
        <v>85.06</v>
      </c>
      <c r="K158" s="22">
        <v>4</v>
      </c>
      <c r="L158" s="16" t="s">
        <v>15</v>
      </c>
    </row>
    <row r="159" s="4" customFormat="1" ht="33" customHeight="1" spans="1:12">
      <c r="A159" s="10">
        <v>156</v>
      </c>
      <c r="B159" s="10" t="str">
        <f>"罗永全"</f>
        <v>罗永全</v>
      </c>
      <c r="C159" s="10" t="str">
        <f>"男        "</f>
        <v>男        </v>
      </c>
      <c r="D159" s="10" t="str">
        <f>"苗族"</f>
        <v>苗族</v>
      </c>
      <c r="E159" s="10" t="str">
        <f>"广西百色市隆林县猪场乡会卜社"</f>
        <v>广西百色市隆林县猪场乡会卜社</v>
      </c>
      <c r="F159" s="10" t="str">
        <f t="shared" si="17"/>
        <v>小学</v>
      </c>
      <c r="G159" s="10" t="str">
        <f t="shared" si="18"/>
        <v>110:信息技术</v>
      </c>
      <c r="H159" s="23"/>
      <c r="I159" s="25" t="s">
        <v>32</v>
      </c>
      <c r="J159" s="26">
        <v>84.8</v>
      </c>
      <c r="K159" s="22">
        <v>5</v>
      </c>
      <c r="L159" s="16" t="s">
        <v>15</v>
      </c>
    </row>
    <row r="160" s="4" customFormat="1" ht="33" customHeight="1" spans="1:12">
      <c r="A160" s="10">
        <v>157</v>
      </c>
      <c r="B160" s="10" t="str">
        <f>"何美慧"</f>
        <v>何美慧</v>
      </c>
      <c r="C160" s="10" t="str">
        <f>"女        "</f>
        <v>女        </v>
      </c>
      <c r="D160" s="10" t="str">
        <f>"壮族"</f>
        <v>壮族</v>
      </c>
      <c r="E160" s="10" t="str">
        <f>"广西百色市西林县福宁佳苑e区11栋"</f>
        <v>广西百色市西林县福宁佳苑e区11栋</v>
      </c>
      <c r="F160" s="10" t="str">
        <f t="shared" si="17"/>
        <v>小学</v>
      </c>
      <c r="G160" s="10" t="str">
        <f t="shared" si="18"/>
        <v>110:信息技术</v>
      </c>
      <c r="H160" s="23"/>
      <c r="I160" s="25" t="s">
        <v>32</v>
      </c>
      <c r="J160" s="26">
        <v>84.12</v>
      </c>
      <c r="K160" s="24">
        <v>6</v>
      </c>
      <c r="L160" s="16"/>
    </row>
    <row r="161" s="4" customFormat="1" ht="33" customHeight="1" spans="1:12">
      <c r="A161" s="10">
        <v>158</v>
      </c>
      <c r="B161" s="10" t="str">
        <f>"李太艳"</f>
        <v>李太艳</v>
      </c>
      <c r="C161" s="10" t="str">
        <f>"女        "</f>
        <v>女        </v>
      </c>
      <c r="D161" s="10" t="str">
        <f>"壮族"</f>
        <v>壮族</v>
      </c>
      <c r="E161" s="10" t="str">
        <f>"云南省文山州广南县莲城镇小广南村14小组"</f>
        <v>云南省文山州广南县莲城镇小广南村14小组</v>
      </c>
      <c r="F161" s="10" t="str">
        <f t="shared" si="17"/>
        <v>小学</v>
      </c>
      <c r="G161" s="10" t="str">
        <f t="shared" si="18"/>
        <v>110:信息技术</v>
      </c>
      <c r="H161" s="23"/>
      <c r="I161" s="25" t="s">
        <v>32</v>
      </c>
      <c r="J161" s="26">
        <v>83.6</v>
      </c>
      <c r="K161" s="24">
        <v>7</v>
      </c>
      <c r="L161" s="16"/>
    </row>
    <row r="162" s="4" customFormat="1" ht="33" customHeight="1" spans="1:12">
      <c r="A162" s="10">
        <v>159</v>
      </c>
      <c r="B162" s="10" t="str">
        <f>"刘林丽"</f>
        <v>刘林丽</v>
      </c>
      <c r="C162" s="10" t="str">
        <f>"女        "</f>
        <v>女        </v>
      </c>
      <c r="D162" s="10" t="str">
        <f>"汉族"</f>
        <v>汉族</v>
      </c>
      <c r="E162" s="10" t="str">
        <f>"云南省曲靖市陆良县小百户镇北山村委会大庄子村166号"</f>
        <v>云南省曲靖市陆良县小百户镇北山村委会大庄子村166号</v>
      </c>
      <c r="F162" s="10" t="str">
        <f t="shared" si="17"/>
        <v>小学</v>
      </c>
      <c r="G162" s="10" t="str">
        <f t="shared" si="18"/>
        <v>110:信息技术</v>
      </c>
      <c r="H162" s="23"/>
      <c r="I162" s="25" t="s">
        <v>32</v>
      </c>
      <c r="J162" s="26">
        <v>81.8</v>
      </c>
      <c r="K162" s="24">
        <v>8</v>
      </c>
      <c r="L162" s="16"/>
    </row>
    <row r="163" s="4" customFormat="1" ht="33" customHeight="1" spans="1:12">
      <c r="A163" s="10">
        <v>160</v>
      </c>
      <c r="B163" s="10" t="str">
        <f>"王义官"</f>
        <v>王义官</v>
      </c>
      <c r="C163" s="10" t="str">
        <f>"男        "</f>
        <v>男        </v>
      </c>
      <c r="D163" s="10" t="str">
        <f>"壮族"</f>
        <v>壮族</v>
      </c>
      <c r="E163" s="10" t="str">
        <f>"广西百色市隆林县皇家花园"</f>
        <v>广西百色市隆林县皇家花园</v>
      </c>
      <c r="F163" s="10" t="str">
        <f t="shared" si="17"/>
        <v>小学</v>
      </c>
      <c r="G163" s="10" t="str">
        <f t="shared" si="18"/>
        <v>110:信息技术</v>
      </c>
      <c r="H163" s="23"/>
      <c r="I163" s="25" t="s">
        <v>32</v>
      </c>
      <c r="J163" s="26">
        <v>79.84</v>
      </c>
      <c r="K163" s="24">
        <v>9</v>
      </c>
      <c r="L163" s="16"/>
    </row>
    <row r="164" s="4" customFormat="1" ht="33" customHeight="1" spans="1:12">
      <c r="A164" s="10">
        <v>161</v>
      </c>
      <c r="B164" s="10" t="str">
        <f>"殷晓曦"</f>
        <v>殷晓曦</v>
      </c>
      <c r="C164" s="10" t="str">
        <f>"女        "</f>
        <v>女        </v>
      </c>
      <c r="D164" s="10" t="str">
        <f>"汉族"</f>
        <v>汉族</v>
      </c>
      <c r="E164" s="10" t="str">
        <f>"云南省文山州广南县"</f>
        <v>云南省文山州广南县</v>
      </c>
      <c r="F164" s="10" t="str">
        <f t="shared" si="17"/>
        <v>小学</v>
      </c>
      <c r="G164" s="10" t="str">
        <f t="shared" si="18"/>
        <v>110:信息技术</v>
      </c>
      <c r="H164" s="23"/>
      <c r="I164" s="25" t="s">
        <v>32</v>
      </c>
      <c r="J164" s="26">
        <v>76.3</v>
      </c>
      <c r="K164" s="24">
        <v>10</v>
      </c>
      <c r="L164" s="16"/>
    </row>
    <row r="165" s="4" customFormat="1" ht="33" customHeight="1" spans="1:12">
      <c r="A165" s="10">
        <v>162</v>
      </c>
      <c r="B165" s="10" t="str">
        <f>"王梅"</f>
        <v>王梅</v>
      </c>
      <c r="C165" s="10" t="str">
        <f>"女        "</f>
        <v>女        </v>
      </c>
      <c r="D165" s="10" t="str">
        <f>"土家族"</f>
        <v>土家族</v>
      </c>
      <c r="E165" s="10" t="str">
        <f>"广西壮族自治区百色市隆林各族自治县"</f>
        <v>广西壮族自治区百色市隆林各族自治县</v>
      </c>
      <c r="F165" s="10" t="str">
        <f t="shared" si="17"/>
        <v>小学</v>
      </c>
      <c r="G165" s="10" t="str">
        <f t="shared" si="18"/>
        <v>110:信息技术</v>
      </c>
      <c r="H165" s="23"/>
      <c r="I165" s="25" t="s">
        <v>32</v>
      </c>
      <c r="J165" s="26">
        <v>75.4</v>
      </c>
      <c r="K165" s="24">
        <v>11</v>
      </c>
      <c r="L165" s="16"/>
    </row>
    <row r="166" s="4" customFormat="1" ht="33" customHeight="1" spans="1:12">
      <c r="A166" s="10">
        <v>163</v>
      </c>
      <c r="B166" s="10" t="str">
        <f>"何权"</f>
        <v>何权</v>
      </c>
      <c r="C166" s="10" t="str">
        <f>"女        "</f>
        <v>女        </v>
      </c>
      <c r="D166" s="10" t="str">
        <f>"汉族"</f>
        <v>汉族</v>
      </c>
      <c r="E166" s="10" t="str">
        <f>"贵州省兴义市鲁屯镇七一村"</f>
        <v>贵州省兴义市鲁屯镇七一村</v>
      </c>
      <c r="F166" s="10" t="str">
        <f t="shared" si="17"/>
        <v>小学</v>
      </c>
      <c r="G166" s="10" t="str">
        <f t="shared" si="18"/>
        <v>110:信息技术</v>
      </c>
      <c r="H166" s="23"/>
      <c r="I166" s="25" t="s">
        <v>32</v>
      </c>
      <c r="J166" s="27" t="s">
        <v>18</v>
      </c>
      <c r="K166" s="24">
        <v>12</v>
      </c>
      <c r="L166" s="16"/>
    </row>
    <row r="167" s="4" customFormat="1" ht="33" customHeight="1" spans="1:12">
      <c r="A167" s="10">
        <v>164</v>
      </c>
      <c r="B167" s="10" t="str">
        <f>"李俊兵"</f>
        <v>李俊兵</v>
      </c>
      <c r="C167" s="10" t="str">
        <f>"男        "</f>
        <v>男        </v>
      </c>
      <c r="D167" s="10" t="str">
        <f>"彝族"</f>
        <v>彝族</v>
      </c>
      <c r="E167" s="10" t="str">
        <f>"云南省红河州开远市碑格乡白西龙村47号"</f>
        <v>云南省红河州开远市碑格乡白西龙村47号</v>
      </c>
      <c r="F167" s="10" t="str">
        <f t="shared" si="17"/>
        <v>小学</v>
      </c>
      <c r="G167" s="10" t="str">
        <f t="shared" si="18"/>
        <v>110:信息技术</v>
      </c>
      <c r="H167" s="23"/>
      <c r="I167" s="25" t="s">
        <v>32</v>
      </c>
      <c r="J167" s="27" t="s">
        <v>18</v>
      </c>
      <c r="K167" s="24">
        <v>13</v>
      </c>
      <c r="L167" s="16"/>
    </row>
    <row r="168" s="4" customFormat="1" ht="33" customHeight="1" spans="1:12">
      <c r="A168" s="10">
        <v>165</v>
      </c>
      <c r="B168" s="10" t="str">
        <f>"刘利波"</f>
        <v>刘利波</v>
      </c>
      <c r="C168" s="10" t="str">
        <f>"男        "</f>
        <v>男        </v>
      </c>
      <c r="D168" s="10" t="str">
        <f>"汉族"</f>
        <v>汉族</v>
      </c>
      <c r="E168" s="10" t="str">
        <f>"云南省曲靖市罗平县马街镇戈背村委会戈背村233号"</f>
        <v>云南省曲靖市罗平县马街镇戈背村委会戈背村233号</v>
      </c>
      <c r="F168" s="10" t="str">
        <f t="shared" ref="F168:F178" si="19">"初中"</f>
        <v>初中</v>
      </c>
      <c r="G168" s="10" t="str">
        <f t="shared" ref="G168:G178" si="20">"213:音乐"</f>
        <v>213:音乐</v>
      </c>
      <c r="H168" s="23"/>
      <c r="I168" s="25" t="s">
        <v>33</v>
      </c>
      <c r="J168" s="26">
        <v>87.54</v>
      </c>
      <c r="K168" s="22">
        <v>1</v>
      </c>
      <c r="L168" s="16" t="s">
        <v>15</v>
      </c>
    </row>
    <row r="169" s="4" customFormat="1" ht="33" customHeight="1" spans="1:12">
      <c r="A169" s="10">
        <v>166</v>
      </c>
      <c r="B169" s="10" t="str">
        <f>"罗磨"</f>
        <v>罗磨</v>
      </c>
      <c r="C169" s="10" t="str">
        <f>"女        "</f>
        <v>女        </v>
      </c>
      <c r="D169" s="10" t="str">
        <f>"布依族"</f>
        <v>布依族</v>
      </c>
      <c r="E169" s="10" t="str">
        <f>""</f>
        <v/>
      </c>
      <c r="F169" s="10" t="str">
        <f t="shared" si="19"/>
        <v>初中</v>
      </c>
      <c r="G169" s="10" t="str">
        <f t="shared" si="20"/>
        <v>213:音乐</v>
      </c>
      <c r="H169" s="23"/>
      <c r="I169" s="25" t="s">
        <v>33</v>
      </c>
      <c r="J169" s="26">
        <v>86.92</v>
      </c>
      <c r="K169" s="22">
        <v>2</v>
      </c>
      <c r="L169" s="16" t="s">
        <v>15</v>
      </c>
    </row>
    <row r="170" s="4" customFormat="1" ht="33" customHeight="1" spans="1:12">
      <c r="A170" s="10">
        <v>167</v>
      </c>
      <c r="B170" s="10" t="str">
        <f>"杨永桃"</f>
        <v>杨永桃</v>
      </c>
      <c r="C170" s="10" t="str">
        <f>"女        "</f>
        <v>女        </v>
      </c>
      <c r="D170" s="10" t="str">
        <f>"其他"</f>
        <v>其他</v>
      </c>
      <c r="E170" s="10" t="str">
        <f>"贵州省纳雍县董地乡青山村杨家寨组"</f>
        <v>贵州省纳雍县董地乡青山村杨家寨组</v>
      </c>
      <c r="F170" s="10" t="str">
        <f t="shared" si="19"/>
        <v>初中</v>
      </c>
      <c r="G170" s="10" t="str">
        <f t="shared" si="20"/>
        <v>213:音乐</v>
      </c>
      <c r="H170" s="23"/>
      <c r="I170" s="25" t="s">
        <v>33</v>
      </c>
      <c r="J170" s="26">
        <v>83.8</v>
      </c>
      <c r="K170" s="22">
        <v>3</v>
      </c>
      <c r="L170" s="16" t="s">
        <v>15</v>
      </c>
    </row>
    <row r="171" s="4" customFormat="1" ht="33" customHeight="1" spans="1:12">
      <c r="A171" s="10">
        <v>168</v>
      </c>
      <c r="B171" s="10" t="str">
        <f>"吴永贤"</f>
        <v>吴永贤</v>
      </c>
      <c r="C171" s="10" t="str">
        <f>"男        "</f>
        <v>男        </v>
      </c>
      <c r="D171" s="10" t="str">
        <f>"苗族"</f>
        <v>苗族</v>
      </c>
      <c r="E171" s="10" t="str">
        <f>"贵州省安龙县龙山镇纳林村纳林组"</f>
        <v>贵州省安龙县龙山镇纳林村纳林组</v>
      </c>
      <c r="F171" s="10" t="str">
        <f t="shared" si="19"/>
        <v>初中</v>
      </c>
      <c r="G171" s="10" t="str">
        <f t="shared" si="20"/>
        <v>213:音乐</v>
      </c>
      <c r="H171" s="23"/>
      <c r="I171" s="25" t="s">
        <v>33</v>
      </c>
      <c r="J171" s="26">
        <v>79.8</v>
      </c>
      <c r="K171" s="22">
        <v>4</v>
      </c>
      <c r="L171" s="16" t="s">
        <v>15</v>
      </c>
    </row>
    <row r="172" s="4" customFormat="1" ht="33" customHeight="1" spans="1:12">
      <c r="A172" s="10">
        <v>169</v>
      </c>
      <c r="B172" s="10" t="str">
        <f>"席志"</f>
        <v>席志</v>
      </c>
      <c r="C172" s="10" t="str">
        <f>"男        "</f>
        <v>男        </v>
      </c>
      <c r="D172" s="10" t="str">
        <f>"汉族"</f>
        <v>汉族</v>
      </c>
      <c r="E172" s="10" t="str">
        <f>"贵州省黔西南州晴隆县"</f>
        <v>贵州省黔西南州晴隆县</v>
      </c>
      <c r="F172" s="10" t="str">
        <f t="shared" si="19"/>
        <v>初中</v>
      </c>
      <c r="G172" s="10" t="str">
        <f t="shared" si="20"/>
        <v>213:音乐</v>
      </c>
      <c r="H172" s="23"/>
      <c r="I172" s="25" t="s">
        <v>33</v>
      </c>
      <c r="J172" s="26">
        <v>79</v>
      </c>
      <c r="K172" s="22">
        <v>5</v>
      </c>
      <c r="L172" s="16" t="s">
        <v>15</v>
      </c>
    </row>
    <row r="173" s="4" customFormat="1" ht="33" customHeight="1" spans="1:12">
      <c r="A173" s="10">
        <v>170</v>
      </c>
      <c r="B173" s="10" t="str">
        <f>"黄显忠"</f>
        <v>黄显忠</v>
      </c>
      <c r="C173" s="10" t="str">
        <f>"男        "</f>
        <v>男        </v>
      </c>
      <c r="D173" s="10" t="str">
        <f>"苗族"</f>
        <v>苗族</v>
      </c>
      <c r="E173" s="10" t="str">
        <f>"贵州省望谟县麻山乡和平村三组"</f>
        <v>贵州省望谟县麻山乡和平村三组</v>
      </c>
      <c r="F173" s="10" t="str">
        <f t="shared" si="19"/>
        <v>初中</v>
      </c>
      <c r="G173" s="10" t="str">
        <f t="shared" si="20"/>
        <v>213:音乐</v>
      </c>
      <c r="H173" s="23"/>
      <c r="I173" s="25" t="s">
        <v>33</v>
      </c>
      <c r="J173" s="26">
        <v>78</v>
      </c>
      <c r="K173" s="24">
        <v>6</v>
      </c>
      <c r="L173" s="16"/>
    </row>
    <row r="174" s="4" customFormat="1" ht="33" customHeight="1" spans="1:12">
      <c r="A174" s="10">
        <v>171</v>
      </c>
      <c r="B174" s="10" t="str">
        <f>"岑兴兰"</f>
        <v>岑兴兰</v>
      </c>
      <c r="C174" s="10" t="str">
        <f>"女        "</f>
        <v>女        </v>
      </c>
      <c r="D174" s="10" t="str">
        <f>"布依族"</f>
        <v>布依族</v>
      </c>
      <c r="E174" s="10" t="str">
        <f>"贵州省黔西南州普安县白沙乡"</f>
        <v>贵州省黔西南州普安县白沙乡</v>
      </c>
      <c r="F174" s="10" t="str">
        <f t="shared" si="19"/>
        <v>初中</v>
      </c>
      <c r="G174" s="10" t="str">
        <f t="shared" si="20"/>
        <v>213:音乐</v>
      </c>
      <c r="H174" s="23"/>
      <c r="I174" s="25" t="s">
        <v>33</v>
      </c>
      <c r="J174" s="26">
        <v>76.8</v>
      </c>
      <c r="K174" s="24">
        <v>7</v>
      </c>
      <c r="L174" s="16"/>
    </row>
    <row r="175" s="4" customFormat="1" ht="33" customHeight="1" spans="1:12">
      <c r="A175" s="10">
        <v>172</v>
      </c>
      <c r="B175" s="10" t="str">
        <f>"罗钧匀"</f>
        <v>罗钧匀</v>
      </c>
      <c r="C175" s="10" t="str">
        <f>"男        "</f>
        <v>男        </v>
      </c>
      <c r="D175" s="10" t="str">
        <f>"苗族"</f>
        <v>苗族</v>
      </c>
      <c r="E175" s="10" t="str">
        <f>"贵州省望谟县乐旺镇坡头村纳糥组"</f>
        <v>贵州省望谟县乐旺镇坡头村纳糥组</v>
      </c>
      <c r="F175" s="10" t="str">
        <f t="shared" si="19"/>
        <v>初中</v>
      </c>
      <c r="G175" s="10" t="str">
        <f t="shared" si="20"/>
        <v>213:音乐</v>
      </c>
      <c r="H175" s="23"/>
      <c r="I175" s="25" t="s">
        <v>33</v>
      </c>
      <c r="J175" s="26">
        <v>74.6</v>
      </c>
      <c r="K175" s="24">
        <v>8</v>
      </c>
      <c r="L175" s="16"/>
    </row>
    <row r="176" s="4" customFormat="1" ht="33" customHeight="1" spans="1:12">
      <c r="A176" s="10">
        <v>173</v>
      </c>
      <c r="B176" s="10" t="str">
        <f>"李霜霜"</f>
        <v>李霜霜</v>
      </c>
      <c r="C176" s="10" t="str">
        <f>"女        "</f>
        <v>女        </v>
      </c>
      <c r="D176" s="10" t="str">
        <f>"苗族"</f>
        <v>苗族</v>
      </c>
      <c r="E176" s="10" t="str">
        <f>"广西省百色市西林县花贡村"</f>
        <v>广西省百色市西林县花贡村</v>
      </c>
      <c r="F176" s="10" t="str">
        <f t="shared" si="19"/>
        <v>初中</v>
      </c>
      <c r="G176" s="10" t="str">
        <f t="shared" si="20"/>
        <v>213:音乐</v>
      </c>
      <c r="H176" s="23"/>
      <c r="I176" s="25" t="s">
        <v>33</v>
      </c>
      <c r="J176" s="26">
        <v>66</v>
      </c>
      <c r="K176" s="24">
        <v>9</v>
      </c>
      <c r="L176" s="16"/>
    </row>
    <row r="177" s="4" customFormat="1" ht="33" customHeight="1" spans="1:12">
      <c r="A177" s="10">
        <v>174</v>
      </c>
      <c r="B177" s="10" t="str">
        <f>"袁仁银"</f>
        <v>袁仁银</v>
      </c>
      <c r="C177" s="10" t="str">
        <f>"男        "</f>
        <v>男        </v>
      </c>
      <c r="D177" s="10" t="str">
        <f>"汉族"</f>
        <v>汉族</v>
      </c>
      <c r="E177" s="10" t="str">
        <f>""</f>
        <v/>
      </c>
      <c r="F177" s="10" t="str">
        <f t="shared" si="19"/>
        <v>初中</v>
      </c>
      <c r="G177" s="10" t="str">
        <f t="shared" si="20"/>
        <v>213:音乐</v>
      </c>
      <c r="H177" s="23"/>
      <c r="I177" s="25" t="s">
        <v>33</v>
      </c>
      <c r="J177" s="27" t="s">
        <v>18</v>
      </c>
      <c r="K177" s="24">
        <v>10</v>
      </c>
      <c r="L177" s="16"/>
    </row>
    <row r="178" s="4" customFormat="1" ht="33" customHeight="1" spans="1:12">
      <c r="A178" s="10">
        <v>175</v>
      </c>
      <c r="B178" s="10" t="str">
        <f>"郭启洪"</f>
        <v>郭启洪</v>
      </c>
      <c r="C178" s="10" t="str">
        <f>"男        "</f>
        <v>男        </v>
      </c>
      <c r="D178" s="10" t="str">
        <f>"汉族"</f>
        <v>汉族</v>
      </c>
      <c r="E178" s="10" t="str">
        <f>"贵州省威宁县牛棚镇发红村丫口组"</f>
        <v>贵州省威宁县牛棚镇发红村丫口组</v>
      </c>
      <c r="F178" s="10" t="str">
        <f t="shared" si="19"/>
        <v>初中</v>
      </c>
      <c r="G178" s="10" t="str">
        <f t="shared" si="20"/>
        <v>213:音乐</v>
      </c>
      <c r="H178" s="23"/>
      <c r="I178" s="25" t="s">
        <v>33</v>
      </c>
      <c r="J178" s="27" t="s">
        <v>18</v>
      </c>
      <c r="K178" s="24">
        <v>11</v>
      </c>
      <c r="L178" s="16"/>
    </row>
    <row r="179" s="4" customFormat="1" ht="33" customHeight="1" spans="1:12">
      <c r="A179" s="10">
        <v>176</v>
      </c>
      <c r="B179" s="10" t="str">
        <f>"吴世丽"</f>
        <v>吴世丽</v>
      </c>
      <c r="C179" s="10" t="str">
        <f>"女        "</f>
        <v>女        </v>
      </c>
      <c r="D179" s="10" t="str">
        <f>"汉族"</f>
        <v>汉族</v>
      </c>
      <c r="E179" s="10" t="str">
        <f>"贵州省望谟县新屯镇"</f>
        <v>贵州省望谟县新屯镇</v>
      </c>
      <c r="F179" s="10" t="str">
        <f t="shared" ref="F179:F188" si="21">"小学"</f>
        <v>小学</v>
      </c>
      <c r="G179" s="10" t="str">
        <f t="shared" ref="G179:G188" si="22">"107:音乐"</f>
        <v>107:音乐</v>
      </c>
      <c r="H179" s="23"/>
      <c r="I179" s="25" t="s">
        <v>33</v>
      </c>
      <c r="J179" s="26">
        <v>84</v>
      </c>
      <c r="K179" s="22">
        <v>1</v>
      </c>
      <c r="L179" s="16" t="s">
        <v>15</v>
      </c>
    </row>
    <row r="180" s="4" customFormat="1" ht="33" customHeight="1" spans="1:12">
      <c r="A180" s="10">
        <v>177</v>
      </c>
      <c r="B180" s="10" t="str">
        <f>"吴思梅"</f>
        <v>吴思梅</v>
      </c>
      <c r="C180" s="10" t="str">
        <f>"女        "</f>
        <v>女        </v>
      </c>
      <c r="D180" s="10" t="str">
        <f>"苗族"</f>
        <v>苗族</v>
      </c>
      <c r="E180" s="10" t="str">
        <f>"广西百色市西林县普合苗族乡岩腊村四家平屯"</f>
        <v>广西百色市西林县普合苗族乡岩腊村四家平屯</v>
      </c>
      <c r="F180" s="10" t="str">
        <f t="shared" si="21"/>
        <v>小学</v>
      </c>
      <c r="G180" s="10" t="str">
        <f t="shared" si="22"/>
        <v>107:音乐</v>
      </c>
      <c r="H180" s="23"/>
      <c r="I180" s="25" t="s">
        <v>33</v>
      </c>
      <c r="J180" s="26">
        <v>82.7</v>
      </c>
      <c r="K180" s="22">
        <v>2</v>
      </c>
      <c r="L180" s="16" t="s">
        <v>15</v>
      </c>
    </row>
    <row r="181" s="4" customFormat="1" ht="33" customHeight="1" spans="1:12">
      <c r="A181" s="10">
        <v>178</v>
      </c>
      <c r="B181" s="10" t="str">
        <f>"杨曾艳"</f>
        <v>杨曾艳</v>
      </c>
      <c r="C181" s="10" t="str">
        <f>"女        "</f>
        <v>女        </v>
      </c>
      <c r="D181" s="10" t="str">
        <f>"苗族"</f>
        <v>苗族</v>
      </c>
      <c r="E181" s="10" t="str">
        <f>"贵州省册亨县丫他镇坪位村"</f>
        <v>贵州省册亨县丫他镇坪位村</v>
      </c>
      <c r="F181" s="10" t="str">
        <f t="shared" si="21"/>
        <v>小学</v>
      </c>
      <c r="G181" s="10" t="str">
        <f t="shared" si="22"/>
        <v>107:音乐</v>
      </c>
      <c r="H181" s="23"/>
      <c r="I181" s="25" t="s">
        <v>33</v>
      </c>
      <c r="J181" s="26">
        <v>82.64</v>
      </c>
      <c r="K181" s="22">
        <v>3</v>
      </c>
      <c r="L181" s="16" t="s">
        <v>15</v>
      </c>
    </row>
    <row r="182" s="4" customFormat="1" ht="33" customHeight="1" spans="1:12">
      <c r="A182" s="10">
        <v>179</v>
      </c>
      <c r="B182" s="10" t="str">
        <f>"唐霜霜"</f>
        <v>唐霜霜</v>
      </c>
      <c r="C182" s="10" t="str">
        <f>"女        "</f>
        <v>女        </v>
      </c>
      <c r="D182" s="10" t="str">
        <f>"汉族"</f>
        <v>汉族</v>
      </c>
      <c r="E182" s="10" t="str">
        <f>"贵州省望谟县打尖乡洒琴村合同二组10号"</f>
        <v>贵州省望谟县打尖乡洒琴村合同二组10号</v>
      </c>
      <c r="F182" s="10" t="str">
        <f t="shared" si="21"/>
        <v>小学</v>
      </c>
      <c r="G182" s="10" t="str">
        <f t="shared" si="22"/>
        <v>107:音乐</v>
      </c>
      <c r="H182" s="23"/>
      <c r="I182" s="25" t="s">
        <v>33</v>
      </c>
      <c r="J182" s="26">
        <v>82.34</v>
      </c>
      <c r="K182" s="22">
        <v>4</v>
      </c>
      <c r="L182" s="16" t="s">
        <v>15</v>
      </c>
    </row>
    <row r="183" s="4" customFormat="1" ht="33" customHeight="1" spans="1:12">
      <c r="A183" s="10">
        <v>180</v>
      </c>
      <c r="B183" s="10" t="str">
        <f>"王血婵"</f>
        <v>王血婵</v>
      </c>
      <c r="C183" s="10" t="str">
        <f>"女        "</f>
        <v>女        </v>
      </c>
      <c r="D183" s="10" t="str">
        <f>"布依族"</f>
        <v>布依族</v>
      </c>
      <c r="E183" s="10" t="str">
        <f>"贵州省望谟县纳夜镇打郎村"</f>
        <v>贵州省望谟县纳夜镇打郎村</v>
      </c>
      <c r="F183" s="10" t="str">
        <f t="shared" si="21"/>
        <v>小学</v>
      </c>
      <c r="G183" s="10" t="str">
        <f t="shared" si="22"/>
        <v>107:音乐</v>
      </c>
      <c r="H183" s="23"/>
      <c r="I183" s="25" t="s">
        <v>33</v>
      </c>
      <c r="J183" s="26">
        <v>82.14</v>
      </c>
      <c r="K183" s="22">
        <v>5</v>
      </c>
      <c r="L183" s="16" t="s">
        <v>15</v>
      </c>
    </row>
    <row r="184" s="4" customFormat="1" ht="33" customHeight="1" spans="1:12">
      <c r="A184" s="10">
        <v>181</v>
      </c>
      <c r="B184" s="10" t="str">
        <f>"雷发明"</f>
        <v>雷发明</v>
      </c>
      <c r="C184" s="10" t="str">
        <f>"男        "</f>
        <v>男        </v>
      </c>
      <c r="D184" s="10" t="str">
        <f>"苗族"</f>
        <v>苗族</v>
      </c>
      <c r="E184" s="10" t="str">
        <f>"贵州省兴仁县巴铃镇者纳河村"</f>
        <v>贵州省兴仁县巴铃镇者纳河村</v>
      </c>
      <c r="F184" s="10" t="str">
        <f t="shared" si="21"/>
        <v>小学</v>
      </c>
      <c r="G184" s="10" t="str">
        <f t="shared" si="22"/>
        <v>107:音乐</v>
      </c>
      <c r="H184" s="23"/>
      <c r="I184" s="25" t="s">
        <v>33</v>
      </c>
      <c r="J184" s="26">
        <v>78.3</v>
      </c>
      <c r="K184" s="24">
        <v>6</v>
      </c>
      <c r="L184" s="16"/>
    </row>
    <row r="185" s="4" customFormat="1" ht="33" customHeight="1" spans="1:12">
      <c r="A185" s="10">
        <v>182</v>
      </c>
      <c r="B185" s="10" t="str">
        <f>"何倩"</f>
        <v>何倩</v>
      </c>
      <c r="C185" s="10" t="str">
        <f>"女        "</f>
        <v>女        </v>
      </c>
      <c r="D185" s="10" t="str">
        <f>"汉族"</f>
        <v>汉族</v>
      </c>
      <c r="E185" s="10" t="str">
        <f>"贵州省兴义市田坝街31号1栋506室"</f>
        <v>贵州省兴义市田坝街31号1栋506室</v>
      </c>
      <c r="F185" s="10" t="str">
        <f t="shared" si="21"/>
        <v>小学</v>
      </c>
      <c r="G185" s="10" t="str">
        <f t="shared" si="22"/>
        <v>107:音乐</v>
      </c>
      <c r="H185" s="23"/>
      <c r="I185" s="25" t="s">
        <v>33</v>
      </c>
      <c r="J185" s="26">
        <v>77.46</v>
      </c>
      <c r="K185" s="24">
        <v>7</v>
      </c>
      <c r="L185" s="16"/>
    </row>
    <row r="186" s="4" customFormat="1" ht="33" customHeight="1" spans="1:12">
      <c r="A186" s="10">
        <v>183</v>
      </c>
      <c r="B186" s="10" t="str">
        <f>"熊一芝"</f>
        <v>熊一芝</v>
      </c>
      <c r="C186" s="10" t="str">
        <f>"男        "</f>
        <v>男        </v>
      </c>
      <c r="D186" s="10" t="str">
        <f>"苗族"</f>
        <v>苗族</v>
      </c>
      <c r="E186" s="10" t="str">
        <f>"广西百色市西林县那佐苗族乡上马草村平安寨屯"</f>
        <v>广西百色市西林县那佐苗族乡上马草村平安寨屯</v>
      </c>
      <c r="F186" s="10" t="str">
        <f t="shared" si="21"/>
        <v>小学</v>
      </c>
      <c r="G186" s="10" t="str">
        <f t="shared" si="22"/>
        <v>107:音乐</v>
      </c>
      <c r="H186" s="23"/>
      <c r="I186" s="25" t="s">
        <v>33</v>
      </c>
      <c r="J186" s="26">
        <v>74.74</v>
      </c>
      <c r="K186" s="24">
        <v>8</v>
      </c>
      <c r="L186" s="16"/>
    </row>
    <row r="187" s="4" customFormat="1" ht="33" customHeight="1" spans="1:12">
      <c r="A187" s="10">
        <v>184</v>
      </c>
      <c r="B187" s="10" t="str">
        <f>"刘丽容"</f>
        <v>刘丽容</v>
      </c>
      <c r="C187" s="10" t="str">
        <f>"女        "</f>
        <v>女        </v>
      </c>
      <c r="D187" s="10" t="str">
        <f>"苗族"</f>
        <v>苗族</v>
      </c>
      <c r="E187" s="10" t="str">
        <f>"贵州省安龙县钱相街道办事处钱相村塘房组"</f>
        <v>贵州省安龙县钱相街道办事处钱相村塘房组</v>
      </c>
      <c r="F187" s="10" t="str">
        <f t="shared" si="21"/>
        <v>小学</v>
      </c>
      <c r="G187" s="10" t="str">
        <f t="shared" si="22"/>
        <v>107:音乐</v>
      </c>
      <c r="H187" s="23"/>
      <c r="I187" s="25" t="s">
        <v>33</v>
      </c>
      <c r="J187" s="26">
        <v>66.2</v>
      </c>
      <c r="K187" s="24">
        <v>9</v>
      </c>
      <c r="L187" s="16"/>
    </row>
    <row r="188" s="4" customFormat="1" ht="33" customHeight="1" spans="1:12">
      <c r="A188" s="10">
        <v>185</v>
      </c>
      <c r="B188" s="10" t="str">
        <f>"蒙磊"</f>
        <v>蒙磊</v>
      </c>
      <c r="C188" s="10" t="str">
        <f>"男        "</f>
        <v>男        </v>
      </c>
      <c r="D188" s="10" t="str">
        <f>"布依族"</f>
        <v>布依族</v>
      </c>
      <c r="E188" s="10" t="str">
        <f>"贵州省望谟县新屯镇新屯村二组"</f>
        <v>贵州省望谟县新屯镇新屯村二组</v>
      </c>
      <c r="F188" s="10" t="str">
        <f t="shared" si="21"/>
        <v>小学</v>
      </c>
      <c r="G188" s="10" t="str">
        <f t="shared" si="22"/>
        <v>107:音乐</v>
      </c>
      <c r="H188" s="23"/>
      <c r="I188" s="25" t="s">
        <v>33</v>
      </c>
      <c r="J188" s="27" t="s">
        <v>18</v>
      </c>
      <c r="K188" s="24">
        <v>10</v>
      </c>
      <c r="L188" s="16"/>
    </row>
    <row r="189" s="4" customFormat="1" ht="33" customHeight="1" spans="1:12">
      <c r="A189" s="10">
        <v>186</v>
      </c>
      <c r="B189" s="10" t="str">
        <f>"叶红浪"</f>
        <v>叶红浪</v>
      </c>
      <c r="C189" s="10" t="str">
        <f t="shared" ref="C189:C198" si="23">"女        "</f>
        <v>女        </v>
      </c>
      <c r="D189" s="10" t="str">
        <f>"汉族"</f>
        <v>汉族</v>
      </c>
      <c r="E189" s="10" t="str">
        <f>"贵州省兴仁县城南街道办事处田坝村大地组"</f>
        <v>贵州省兴仁县城南街道办事处田坝村大地组</v>
      </c>
      <c r="F189" s="10" t="str">
        <f>"初中"</f>
        <v>初中</v>
      </c>
      <c r="G189" s="10" t="str">
        <f>"204:英语"</f>
        <v>204:英语</v>
      </c>
      <c r="H189" s="23"/>
      <c r="I189" s="25" t="s">
        <v>34</v>
      </c>
      <c r="J189" s="26">
        <v>80.78</v>
      </c>
      <c r="K189" s="22">
        <v>1</v>
      </c>
      <c r="L189" s="16" t="s">
        <v>15</v>
      </c>
    </row>
    <row r="190" s="4" customFormat="1" ht="33" customHeight="1" spans="1:12">
      <c r="A190" s="10">
        <v>187</v>
      </c>
      <c r="B190" s="10" t="str">
        <f>"张金花"</f>
        <v>张金花</v>
      </c>
      <c r="C190" s="10" t="str">
        <f t="shared" si="23"/>
        <v>女        </v>
      </c>
      <c r="D190" s="10" t="str">
        <f>"壮族"</f>
        <v>壮族</v>
      </c>
      <c r="E190" s="10" t="str">
        <f>"云南省文山州砚山县维摩乡普底村委会白沙弯组7号"</f>
        <v>云南省文山州砚山县维摩乡普底村委会白沙弯组7号</v>
      </c>
      <c r="F190" s="10" t="str">
        <f>"初中"</f>
        <v>初中</v>
      </c>
      <c r="G190" s="10" t="str">
        <f>"204:英语"</f>
        <v>204:英语</v>
      </c>
      <c r="H190" s="23"/>
      <c r="I190" s="25" t="s">
        <v>34</v>
      </c>
      <c r="J190" s="26">
        <v>80.62</v>
      </c>
      <c r="K190" s="22">
        <v>2</v>
      </c>
      <c r="L190" s="16" t="s">
        <v>15</v>
      </c>
    </row>
    <row r="191" s="4" customFormat="1" ht="33" customHeight="1" spans="1:12">
      <c r="A191" s="10">
        <v>188</v>
      </c>
      <c r="B191" s="10" t="str">
        <f>"张艳"</f>
        <v>张艳</v>
      </c>
      <c r="C191" s="10" t="str">
        <f t="shared" si="23"/>
        <v>女        </v>
      </c>
      <c r="D191" s="10" t="str">
        <f>"彝族"</f>
        <v>彝族</v>
      </c>
      <c r="E191" s="10" t="str">
        <f>"贵州省望谟县打易镇打易中心校宿舍"</f>
        <v>贵州省望谟县打易镇打易中心校宿舍</v>
      </c>
      <c r="F191" s="10" t="str">
        <f>"初中"</f>
        <v>初中</v>
      </c>
      <c r="G191" s="10" t="str">
        <f>"204:英语"</f>
        <v>204:英语</v>
      </c>
      <c r="H191" s="23"/>
      <c r="I191" s="25" t="s">
        <v>34</v>
      </c>
      <c r="J191" s="26">
        <v>78.54</v>
      </c>
      <c r="K191" s="22">
        <v>3</v>
      </c>
      <c r="L191" s="16" t="s">
        <v>15</v>
      </c>
    </row>
    <row r="192" s="4" customFormat="1" ht="33" customHeight="1" spans="1:12">
      <c r="A192" s="10">
        <v>189</v>
      </c>
      <c r="B192" s="10" t="str">
        <f>"梁蔓"</f>
        <v>梁蔓</v>
      </c>
      <c r="C192" s="10" t="str">
        <f t="shared" si="23"/>
        <v>女        </v>
      </c>
      <c r="D192" s="10" t="str">
        <f>"汉族"</f>
        <v>汉族</v>
      </c>
      <c r="E192" s="10" t="str">
        <f>"贵州省六盘水市钟山区裕民巷2号602室"</f>
        <v>贵州省六盘水市钟山区裕民巷2号602室</v>
      </c>
      <c r="F192" s="10" t="str">
        <f t="shared" ref="F192:F198" si="24">"小学"</f>
        <v>小学</v>
      </c>
      <c r="G192" s="10" t="str">
        <f t="shared" ref="G192:G198" si="25">"104:英语"</f>
        <v>104:英语</v>
      </c>
      <c r="H192" s="23"/>
      <c r="I192" s="25" t="s">
        <v>34</v>
      </c>
      <c r="J192" s="26">
        <v>87.28</v>
      </c>
      <c r="K192" s="22">
        <v>1</v>
      </c>
      <c r="L192" s="16" t="s">
        <v>15</v>
      </c>
    </row>
    <row r="193" s="4" customFormat="1" ht="33" customHeight="1" spans="1:12">
      <c r="A193" s="10">
        <v>190</v>
      </c>
      <c r="B193" s="10" t="str">
        <f>"唐兰妹"</f>
        <v>唐兰妹</v>
      </c>
      <c r="C193" s="10" t="str">
        <f t="shared" si="23"/>
        <v>女        </v>
      </c>
      <c r="D193" s="10" t="str">
        <f>"汉族"</f>
        <v>汉族</v>
      </c>
      <c r="E193" s="10" t="str">
        <f>"贵州省兴义市威舍镇猪场村三组"</f>
        <v>贵州省兴义市威舍镇猪场村三组</v>
      </c>
      <c r="F193" s="10" t="str">
        <f t="shared" si="24"/>
        <v>小学</v>
      </c>
      <c r="G193" s="10" t="str">
        <f t="shared" si="25"/>
        <v>104:英语</v>
      </c>
      <c r="H193" s="23"/>
      <c r="I193" s="25" t="s">
        <v>34</v>
      </c>
      <c r="J193" s="26">
        <v>85.08</v>
      </c>
      <c r="K193" s="22">
        <v>2</v>
      </c>
      <c r="L193" s="16" t="s">
        <v>15</v>
      </c>
    </row>
    <row r="194" s="4" customFormat="1" ht="33" customHeight="1" spans="1:12">
      <c r="A194" s="10">
        <v>191</v>
      </c>
      <c r="B194" s="10" t="str">
        <f>"徐娜"</f>
        <v>徐娜</v>
      </c>
      <c r="C194" s="10" t="str">
        <f t="shared" si="23"/>
        <v>女        </v>
      </c>
      <c r="D194" s="10" t="str">
        <f>"汉族"</f>
        <v>汉族</v>
      </c>
      <c r="E194" s="10" t="str">
        <f>"贵州省兴仁县民建乡牛厂坪村朱家井组"</f>
        <v>贵州省兴仁县民建乡牛厂坪村朱家井组</v>
      </c>
      <c r="F194" s="10" t="str">
        <f t="shared" si="24"/>
        <v>小学</v>
      </c>
      <c r="G194" s="10" t="str">
        <f t="shared" si="25"/>
        <v>104:英语</v>
      </c>
      <c r="H194" s="23"/>
      <c r="I194" s="25" t="s">
        <v>34</v>
      </c>
      <c r="J194" s="26">
        <v>82.82</v>
      </c>
      <c r="K194" s="22">
        <v>3</v>
      </c>
      <c r="L194" s="16" t="s">
        <v>15</v>
      </c>
    </row>
    <row r="195" s="4" customFormat="1" ht="33" customHeight="1" spans="1:12">
      <c r="A195" s="10">
        <v>192</v>
      </c>
      <c r="B195" s="10" t="str">
        <f>"朱太宇"</f>
        <v>朱太宇</v>
      </c>
      <c r="C195" s="10" t="str">
        <f t="shared" si="23"/>
        <v>女        </v>
      </c>
      <c r="D195" s="10" t="str">
        <f>"汉族"</f>
        <v>汉族</v>
      </c>
      <c r="E195" s="10" t="str">
        <f>"贵州省黔西南州安龙县新安镇东门村塔山组"</f>
        <v>贵州省黔西南州安龙县新安镇东门村塔山组</v>
      </c>
      <c r="F195" s="10" t="str">
        <f t="shared" si="24"/>
        <v>小学</v>
      </c>
      <c r="G195" s="10" t="str">
        <f t="shared" si="25"/>
        <v>104:英语</v>
      </c>
      <c r="H195" s="23"/>
      <c r="I195" s="25" t="s">
        <v>34</v>
      </c>
      <c r="J195" s="26">
        <v>82.3</v>
      </c>
      <c r="K195" s="22">
        <v>4</v>
      </c>
      <c r="L195" s="16" t="s">
        <v>15</v>
      </c>
    </row>
    <row r="196" s="4" customFormat="1" ht="33" customHeight="1" spans="1:12">
      <c r="A196" s="10">
        <v>193</v>
      </c>
      <c r="B196" s="10" t="str">
        <f>"宋进平"</f>
        <v>宋进平</v>
      </c>
      <c r="C196" s="10" t="str">
        <f t="shared" si="23"/>
        <v>女        </v>
      </c>
      <c r="D196" s="10" t="str">
        <f>"汉族"</f>
        <v>汉族</v>
      </c>
      <c r="E196" s="10" t="str">
        <f>"贵州省兴义市顶效镇迎宾西路25号"</f>
        <v>贵州省兴义市顶效镇迎宾西路25号</v>
      </c>
      <c r="F196" s="10" t="str">
        <f t="shared" si="24"/>
        <v>小学</v>
      </c>
      <c r="G196" s="10" t="str">
        <f t="shared" si="25"/>
        <v>104:英语</v>
      </c>
      <c r="H196" s="23"/>
      <c r="I196" s="25" t="s">
        <v>34</v>
      </c>
      <c r="J196" s="26">
        <v>81.48</v>
      </c>
      <c r="K196" s="22">
        <v>5</v>
      </c>
      <c r="L196" s="16" t="s">
        <v>15</v>
      </c>
    </row>
    <row r="197" s="4" customFormat="1" ht="33" customHeight="1" spans="1:12">
      <c r="A197" s="10">
        <v>194</v>
      </c>
      <c r="B197" s="10" t="str">
        <f>"罗仕娟"</f>
        <v>罗仕娟</v>
      </c>
      <c r="C197" s="10" t="str">
        <f t="shared" si="23"/>
        <v>女        </v>
      </c>
      <c r="D197" s="10" t="str">
        <f>"布依族"</f>
        <v>布依族</v>
      </c>
      <c r="E197" s="10" t="str">
        <f>"贵州省望谟县纳夜镇打郎村一组"</f>
        <v>贵州省望谟县纳夜镇打郎村一组</v>
      </c>
      <c r="F197" s="10" t="str">
        <f t="shared" si="24"/>
        <v>小学</v>
      </c>
      <c r="G197" s="10" t="str">
        <f t="shared" si="25"/>
        <v>104:英语</v>
      </c>
      <c r="H197" s="23"/>
      <c r="I197" s="25" t="s">
        <v>34</v>
      </c>
      <c r="J197" s="26">
        <v>77.58</v>
      </c>
      <c r="K197" s="24">
        <v>6</v>
      </c>
      <c r="L197" s="16"/>
    </row>
    <row r="198" s="4" customFormat="1" ht="33" customHeight="1" spans="1:12">
      <c r="A198" s="10">
        <v>195</v>
      </c>
      <c r="B198" s="10" t="str">
        <f>"刘学键"</f>
        <v>刘学键</v>
      </c>
      <c r="C198" s="10" t="str">
        <f t="shared" si="23"/>
        <v>女        </v>
      </c>
      <c r="D198" s="10" t="str">
        <f>"苗族"</f>
        <v>苗族</v>
      </c>
      <c r="E198" s="10" t="str">
        <f>"贵州省望谟县石屯镇马坎村弄乱一组"</f>
        <v>贵州省望谟县石屯镇马坎村弄乱一组</v>
      </c>
      <c r="F198" s="10" t="str">
        <f t="shared" si="24"/>
        <v>小学</v>
      </c>
      <c r="G198" s="10" t="str">
        <f t="shared" si="25"/>
        <v>104:英语</v>
      </c>
      <c r="H198" s="23"/>
      <c r="I198" s="25" t="s">
        <v>34</v>
      </c>
      <c r="J198" s="26">
        <v>74.46</v>
      </c>
      <c r="K198" s="24">
        <v>7</v>
      </c>
      <c r="L198" s="16"/>
    </row>
    <row r="199" s="4" customFormat="1" ht="33" customHeight="1" spans="1:12">
      <c r="A199" s="10">
        <v>196</v>
      </c>
      <c r="B199" s="10" t="str">
        <f>"熊富"</f>
        <v>熊富</v>
      </c>
      <c r="C199" s="10" t="str">
        <f>"男        "</f>
        <v>男        </v>
      </c>
      <c r="D199" s="10" t="str">
        <f>"苗族"</f>
        <v>苗族</v>
      </c>
      <c r="E199" s="10" t="str">
        <f>"云南省文山壮族苗族州广南县五珠乡九克村民委小凹塘小"</f>
        <v>云南省文山壮族苗族州广南县五珠乡九克村民委小凹塘小</v>
      </c>
      <c r="F199" s="10" t="str">
        <f t="shared" ref="F199:F242" si="26">"初中"</f>
        <v>初中</v>
      </c>
      <c r="G199" s="10" t="str">
        <f>"203:数学"</f>
        <v>203:数学</v>
      </c>
      <c r="H199" s="23"/>
      <c r="I199" s="25" t="s">
        <v>34</v>
      </c>
      <c r="J199" s="26">
        <v>87.36</v>
      </c>
      <c r="K199" s="22">
        <v>1</v>
      </c>
      <c r="L199" s="16" t="s">
        <v>15</v>
      </c>
    </row>
    <row r="200" s="4" customFormat="1" ht="33" customHeight="1" spans="1:12">
      <c r="A200" s="10">
        <v>197</v>
      </c>
      <c r="B200" s="10" t="str">
        <f>"黄佳梅"</f>
        <v>黄佳梅</v>
      </c>
      <c r="C200" s="10" t="str">
        <f>"女        "</f>
        <v>女        </v>
      </c>
      <c r="D200" s="10" t="str">
        <f>"壮族"</f>
        <v>壮族</v>
      </c>
      <c r="E200" s="10" t="str">
        <f>"广西百色市隆林各族自治县革步乡领好村那芝社117号"</f>
        <v>广西百色市隆林各族自治县革步乡领好村那芝社117号</v>
      </c>
      <c r="F200" s="10" t="str">
        <f t="shared" si="26"/>
        <v>初中</v>
      </c>
      <c r="G200" s="10" t="str">
        <f>"203:数学"</f>
        <v>203:数学</v>
      </c>
      <c r="H200" s="23"/>
      <c r="I200" s="25" t="s">
        <v>34</v>
      </c>
      <c r="J200" s="26">
        <v>81.18</v>
      </c>
      <c r="K200" s="22">
        <v>2</v>
      </c>
      <c r="L200" s="16" t="s">
        <v>15</v>
      </c>
    </row>
    <row r="201" s="4" customFormat="1" ht="33" customHeight="1" spans="1:12">
      <c r="A201" s="10">
        <v>198</v>
      </c>
      <c r="B201" s="10" t="str">
        <f>"杨光伟"</f>
        <v>杨光伟</v>
      </c>
      <c r="C201" s="10" t="str">
        <f>"男        "</f>
        <v>男        </v>
      </c>
      <c r="D201" s="10" t="str">
        <f>"布依族"</f>
        <v>布依族</v>
      </c>
      <c r="E201" s="10" t="str">
        <f>"贵州省安龙县普坪镇秧地村秧地五组"</f>
        <v>贵州省安龙县普坪镇秧地村秧地五组</v>
      </c>
      <c r="F201" s="10" t="str">
        <f t="shared" si="26"/>
        <v>初中</v>
      </c>
      <c r="G201" s="10" t="str">
        <f t="shared" ref="G201:G215" si="27">"207:地理"</f>
        <v>207:地理</v>
      </c>
      <c r="H201" s="10"/>
      <c r="I201" s="10" t="s">
        <v>35</v>
      </c>
      <c r="J201" s="26">
        <v>87.72</v>
      </c>
      <c r="K201" s="22">
        <v>1</v>
      </c>
      <c r="L201" s="16" t="s">
        <v>15</v>
      </c>
    </row>
    <row r="202" s="4" customFormat="1" ht="33" customHeight="1" spans="1:12">
      <c r="A202" s="10">
        <v>199</v>
      </c>
      <c r="B202" s="10" t="str">
        <f>"罗宇梅"</f>
        <v>罗宇梅</v>
      </c>
      <c r="C202" s="10" t="str">
        <f>"女        "</f>
        <v>女        </v>
      </c>
      <c r="D202" s="10" t="str">
        <f>"布依族"</f>
        <v>布依族</v>
      </c>
      <c r="E202" s="10" t="str">
        <f>"贵州省晴隆县光照镇规模村"</f>
        <v>贵州省晴隆县光照镇规模村</v>
      </c>
      <c r="F202" s="10" t="str">
        <f t="shared" si="26"/>
        <v>初中</v>
      </c>
      <c r="G202" s="10" t="str">
        <f t="shared" si="27"/>
        <v>207:地理</v>
      </c>
      <c r="H202" s="10"/>
      <c r="I202" s="10" t="s">
        <v>35</v>
      </c>
      <c r="J202" s="26">
        <v>86.72</v>
      </c>
      <c r="K202" s="22">
        <v>2</v>
      </c>
      <c r="L202" s="16" t="s">
        <v>15</v>
      </c>
    </row>
    <row r="203" s="4" customFormat="1" ht="33" customHeight="1" spans="1:12">
      <c r="A203" s="10">
        <v>200</v>
      </c>
      <c r="B203" s="10" t="str">
        <f>"马德铭"</f>
        <v>马德铭</v>
      </c>
      <c r="C203" s="10" t="str">
        <f>"男        "</f>
        <v>男        </v>
      </c>
      <c r="D203" s="10" t="str">
        <f>"回族"</f>
        <v>回族</v>
      </c>
      <c r="E203" s="10" t="str">
        <f>"贵州省兴仁县鲁础营乡鲁础营村三家寨组"</f>
        <v>贵州省兴仁县鲁础营乡鲁础营村三家寨组</v>
      </c>
      <c r="F203" s="10" t="str">
        <f t="shared" si="26"/>
        <v>初中</v>
      </c>
      <c r="G203" s="10" t="str">
        <f t="shared" si="27"/>
        <v>207:地理</v>
      </c>
      <c r="H203" s="10"/>
      <c r="I203" s="10" t="s">
        <v>35</v>
      </c>
      <c r="J203" s="26">
        <v>86.14</v>
      </c>
      <c r="K203" s="22">
        <v>3</v>
      </c>
      <c r="L203" s="16" t="s">
        <v>15</v>
      </c>
    </row>
    <row r="204" s="4" customFormat="1" ht="33" customHeight="1" spans="1:12">
      <c r="A204" s="10">
        <v>201</v>
      </c>
      <c r="B204" s="10" t="str">
        <f>"许明艳"</f>
        <v>许明艳</v>
      </c>
      <c r="C204" s="10" t="str">
        <f>"女        "</f>
        <v>女        </v>
      </c>
      <c r="D204" s="10" t="str">
        <f>"汉族"</f>
        <v>汉族</v>
      </c>
      <c r="E204" s="10" t="str">
        <f>"贵州省望谟县新屯镇交角村上交角组"</f>
        <v>贵州省望谟县新屯镇交角村上交角组</v>
      </c>
      <c r="F204" s="10" t="str">
        <f t="shared" si="26"/>
        <v>初中</v>
      </c>
      <c r="G204" s="10" t="str">
        <f t="shared" si="27"/>
        <v>207:地理</v>
      </c>
      <c r="H204" s="10"/>
      <c r="I204" s="10" t="s">
        <v>35</v>
      </c>
      <c r="J204" s="26">
        <v>84.5</v>
      </c>
      <c r="K204" s="22">
        <v>4</v>
      </c>
      <c r="L204" s="16" t="s">
        <v>15</v>
      </c>
    </row>
    <row r="205" s="4" customFormat="1" ht="33" customHeight="1" spans="1:12">
      <c r="A205" s="10">
        <v>202</v>
      </c>
      <c r="B205" s="10" t="str">
        <f>"韦美芝"</f>
        <v>韦美芝</v>
      </c>
      <c r="C205" s="10" t="str">
        <f>"女        "</f>
        <v>女        </v>
      </c>
      <c r="D205" s="10" t="str">
        <f>"壮族"</f>
        <v>壮族</v>
      </c>
      <c r="E205" s="10" t="str">
        <f>"云南省文山壮族苗族自治州砚山县八嘎乡蚌岔村民委蚌岔"</f>
        <v>云南省文山壮族苗族自治州砚山县八嘎乡蚌岔村民委蚌岔</v>
      </c>
      <c r="F205" s="10" t="str">
        <f t="shared" si="26"/>
        <v>初中</v>
      </c>
      <c r="G205" s="10" t="str">
        <f t="shared" si="27"/>
        <v>207:地理</v>
      </c>
      <c r="H205" s="10"/>
      <c r="I205" s="10" t="s">
        <v>35</v>
      </c>
      <c r="J205" s="26">
        <v>83.94</v>
      </c>
      <c r="K205" s="22">
        <v>5</v>
      </c>
      <c r="L205" s="16" t="s">
        <v>15</v>
      </c>
    </row>
    <row r="206" s="4" customFormat="1" ht="33" customHeight="1" spans="1:12">
      <c r="A206" s="10">
        <v>203</v>
      </c>
      <c r="B206" s="10" t="str">
        <f>"韦秋"</f>
        <v>韦秋</v>
      </c>
      <c r="C206" s="10" t="str">
        <f>"女        "</f>
        <v>女        </v>
      </c>
      <c r="D206" s="10" t="str">
        <f>"壮族"</f>
        <v>壮族</v>
      </c>
      <c r="E206" s="10" t="str">
        <f>"广西百色隆林新州镇安技驾校旁"</f>
        <v>广西百色隆林新州镇安技驾校旁</v>
      </c>
      <c r="F206" s="10" t="str">
        <f t="shared" si="26"/>
        <v>初中</v>
      </c>
      <c r="G206" s="10" t="str">
        <f t="shared" si="27"/>
        <v>207:地理</v>
      </c>
      <c r="H206" s="10"/>
      <c r="I206" s="10" t="s">
        <v>35</v>
      </c>
      <c r="J206" s="26">
        <v>83.54</v>
      </c>
      <c r="K206" s="24">
        <v>6</v>
      </c>
      <c r="L206" s="16"/>
    </row>
    <row r="207" s="4" customFormat="1" ht="33" customHeight="1" spans="1:12">
      <c r="A207" s="10">
        <v>204</v>
      </c>
      <c r="B207" s="10" t="str">
        <f>"范守少"</f>
        <v>范守少</v>
      </c>
      <c r="C207" s="10" t="str">
        <f>"男        "</f>
        <v>男        </v>
      </c>
      <c r="D207" s="10" t="str">
        <f>"汉族"</f>
        <v>汉族</v>
      </c>
      <c r="E207" s="10" t="str">
        <f>"云南省宣威市来宾镇宗范村"</f>
        <v>云南省宣威市来宾镇宗范村</v>
      </c>
      <c r="F207" s="10" t="str">
        <f t="shared" si="26"/>
        <v>初中</v>
      </c>
      <c r="G207" s="10" t="str">
        <f t="shared" si="27"/>
        <v>207:地理</v>
      </c>
      <c r="H207" s="10"/>
      <c r="I207" s="10" t="s">
        <v>35</v>
      </c>
      <c r="J207" s="26">
        <v>83.44</v>
      </c>
      <c r="K207" s="24">
        <v>7</v>
      </c>
      <c r="L207" s="16"/>
    </row>
    <row r="208" s="4" customFormat="1" ht="33" customHeight="1" spans="1:12">
      <c r="A208" s="10">
        <v>205</v>
      </c>
      <c r="B208" s="10" t="str">
        <f>"耿艳超"</f>
        <v>耿艳超</v>
      </c>
      <c r="C208" s="10" t="str">
        <f>"男        "</f>
        <v>男        </v>
      </c>
      <c r="D208" s="10" t="str">
        <f>"汉族"</f>
        <v>汉族</v>
      </c>
      <c r="E208" s="10" t="str">
        <f>"云南省文山州丘北县双龙营镇雄山村民委草海子小组"</f>
        <v>云南省文山州丘北县双龙营镇雄山村民委草海子小组</v>
      </c>
      <c r="F208" s="10" t="str">
        <f t="shared" si="26"/>
        <v>初中</v>
      </c>
      <c r="G208" s="10" t="str">
        <f t="shared" si="27"/>
        <v>207:地理</v>
      </c>
      <c r="H208" s="10"/>
      <c r="I208" s="10" t="s">
        <v>35</v>
      </c>
      <c r="J208" s="26">
        <v>82.08</v>
      </c>
      <c r="K208" s="24">
        <v>8</v>
      </c>
      <c r="L208" s="16"/>
    </row>
    <row r="209" s="4" customFormat="1" ht="33" customHeight="1" spans="1:12">
      <c r="A209" s="10">
        <v>206</v>
      </c>
      <c r="B209" s="10" t="str">
        <f>"杨金汝"</f>
        <v>杨金汝</v>
      </c>
      <c r="C209" s="10" t="str">
        <f>"女        "</f>
        <v>女        </v>
      </c>
      <c r="D209" s="10" t="str">
        <f>"壮族"</f>
        <v>壮族</v>
      </c>
      <c r="E209" s="10" t="str">
        <f>"云南省文山壮族苗族自治州砚山县江那镇芦柴冲村民委芦"</f>
        <v>云南省文山壮族苗族自治州砚山县江那镇芦柴冲村民委芦</v>
      </c>
      <c r="F209" s="10" t="str">
        <f t="shared" si="26"/>
        <v>初中</v>
      </c>
      <c r="G209" s="10" t="str">
        <f t="shared" si="27"/>
        <v>207:地理</v>
      </c>
      <c r="H209" s="10"/>
      <c r="I209" s="10" t="s">
        <v>35</v>
      </c>
      <c r="J209" s="26">
        <v>81.54</v>
      </c>
      <c r="K209" s="24">
        <v>9</v>
      </c>
      <c r="L209" s="16"/>
    </row>
    <row r="210" s="4" customFormat="1" ht="33" customHeight="1" spans="1:12">
      <c r="A210" s="10">
        <v>207</v>
      </c>
      <c r="B210" s="10" t="str">
        <f>"周本云"</f>
        <v>周本云</v>
      </c>
      <c r="C210" s="10" t="str">
        <f>"女        "</f>
        <v>女        </v>
      </c>
      <c r="D210" s="10" t="str">
        <f>"汉族"</f>
        <v>汉族</v>
      </c>
      <c r="E210" s="10" t="str">
        <f>"云南省文山壮族苗族自治州西畴县柏林乡马蹄寨岩子脚村"</f>
        <v>云南省文山壮族苗族自治州西畴县柏林乡马蹄寨岩子脚村</v>
      </c>
      <c r="F210" s="10" t="str">
        <f t="shared" si="26"/>
        <v>初中</v>
      </c>
      <c r="G210" s="10" t="str">
        <f t="shared" si="27"/>
        <v>207:地理</v>
      </c>
      <c r="H210" s="10"/>
      <c r="I210" s="10" t="s">
        <v>35</v>
      </c>
      <c r="J210" s="26">
        <v>80.14</v>
      </c>
      <c r="K210" s="24">
        <v>10</v>
      </c>
      <c r="L210" s="16"/>
    </row>
    <row r="211" s="4" customFormat="1" ht="33" customHeight="1" spans="1:12">
      <c r="A211" s="10">
        <v>208</v>
      </c>
      <c r="B211" s="10" t="str">
        <f>"朱启兰"</f>
        <v>朱启兰</v>
      </c>
      <c r="C211" s="10" t="str">
        <f>"女        "</f>
        <v>女        </v>
      </c>
      <c r="D211" s="10" t="str">
        <f>"彝族"</f>
        <v>彝族</v>
      </c>
      <c r="E211" s="10" t="str">
        <f>"云南省文山壮族苗族自治州广南县珠琳镇以兔村民委姑德"</f>
        <v>云南省文山壮族苗族自治州广南县珠琳镇以兔村民委姑德</v>
      </c>
      <c r="F211" s="10" t="str">
        <f t="shared" si="26"/>
        <v>初中</v>
      </c>
      <c r="G211" s="10" t="str">
        <f t="shared" si="27"/>
        <v>207:地理</v>
      </c>
      <c r="H211" s="10"/>
      <c r="I211" s="10" t="s">
        <v>35</v>
      </c>
      <c r="J211" s="26">
        <v>79.18</v>
      </c>
      <c r="K211" s="24">
        <v>11</v>
      </c>
      <c r="L211" s="16"/>
    </row>
    <row r="212" s="4" customFormat="1" ht="33" customHeight="1" spans="1:12">
      <c r="A212" s="10">
        <v>209</v>
      </c>
      <c r="B212" s="10" t="str">
        <f>"杨雄艳"</f>
        <v>杨雄艳</v>
      </c>
      <c r="C212" s="10" t="str">
        <f>"男        "</f>
        <v>男        </v>
      </c>
      <c r="D212" s="10" t="str">
        <f>"汉族"</f>
        <v>汉族</v>
      </c>
      <c r="E212" s="10" t="str">
        <f>"云南省曲靖市富源县大河镇黄泥村委会幸福村"</f>
        <v>云南省曲靖市富源县大河镇黄泥村委会幸福村</v>
      </c>
      <c r="F212" s="10" t="str">
        <f t="shared" si="26"/>
        <v>初中</v>
      </c>
      <c r="G212" s="10" t="str">
        <f t="shared" si="27"/>
        <v>207:地理</v>
      </c>
      <c r="H212" s="10"/>
      <c r="I212" s="10" t="s">
        <v>35</v>
      </c>
      <c r="J212" s="26">
        <v>78.82</v>
      </c>
      <c r="K212" s="24">
        <v>12</v>
      </c>
      <c r="L212" s="16"/>
    </row>
    <row r="213" s="4" customFormat="1" ht="33" customHeight="1" spans="1:12">
      <c r="A213" s="10">
        <v>210</v>
      </c>
      <c r="B213" s="10" t="str">
        <f>"荣华玉"</f>
        <v>荣华玉</v>
      </c>
      <c r="C213" s="10" t="str">
        <f>"女        "</f>
        <v>女        </v>
      </c>
      <c r="D213" s="10" t="str">
        <f>"汉族"</f>
        <v>汉族</v>
      </c>
      <c r="E213" s="10" t="str">
        <f>"云南省文山壮族苗族自治州麻栗坡县"</f>
        <v>云南省文山壮族苗族自治州麻栗坡县</v>
      </c>
      <c r="F213" s="10" t="str">
        <f t="shared" si="26"/>
        <v>初中</v>
      </c>
      <c r="G213" s="10" t="str">
        <f t="shared" si="27"/>
        <v>207:地理</v>
      </c>
      <c r="H213" s="10"/>
      <c r="I213" s="10" t="s">
        <v>35</v>
      </c>
      <c r="J213" s="26">
        <v>74.28</v>
      </c>
      <c r="K213" s="24">
        <v>13</v>
      </c>
      <c r="L213" s="16"/>
    </row>
    <row r="214" s="4" customFormat="1" ht="33" customHeight="1" spans="1:12">
      <c r="A214" s="10">
        <v>211</v>
      </c>
      <c r="B214" s="10" t="str">
        <f>"黄云练"</f>
        <v>黄云练</v>
      </c>
      <c r="C214" s="10" t="str">
        <f>"女        "</f>
        <v>女        </v>
      </c>
      <c r="D214" s="10" t="str">
        <f>"壮族"</f>
        <v>壮族</v>
      </c>
      <c r="E214" s="10" t="str">
        <f>"广西隆林各族自治县革步乡蒙里村九乐社08号"</f>
        <v>广西隆林各族自治县革步乡蒙里村九乐社08号</v>
      </c>
      <c r="F214" s="10" t="str">
        <f t="shared" si="26"/>
        <v>初中</v>
      </c>
      <c r="G214" s="10" t="str">
        <f t="shared" si="27"/>
        <v>207:地理</v>
      </c>
      <c r="H214" s="10"/>
      <c r="I214" s="10" t="s">
        <v>35</v>
      </c>
      <c r="J214" s="27" t="s">
        <v>18</v>
      </c>
      <c r="K214" s="24">
        <v>14</v>
      </c>
      <c r="L214" s="16"/>
    </row>
    <row r="215" s="4" customFormat="1" ht="33" customHeight="1" spans="1:12">
      <c r="A215" s="10">
        <v>212</v>
      </c>
      <c r="B215" s="10" t="str">
        <f>"柏定江"</f>
        <v>柏定江</v>
      </c>
      <c r="C215" s="10" t="str">
        <f>"男        "</f>
        <v>男        </v>
      </c>
      <c r="D215" s="10" t="str">
        <f>"布依族"</f>
        <v>布依族</v>
      </c>
      <c r="E215" s="10" t="str">
        <f>"贵州省晴隆县中营镇新民村义拉组"</f>
        <v>贵州省晴隆县中营镇新民村义拉组</v>
      </c>
      <c r="F215" s="10" t="str">
        <f t="shared" si="26"/>
        <v>初中</v>
      </c>
      <c r="G215" s="10" t="str">
        <f t="shared" si="27"/>
        <v>207:地理</v>
      </c>
      <c r="H215" s="10"/>
      <c r="I215" s="10" t="s">
        <v>35</v>
      </c>
      <c r="J215" s="27" t="s">
        <v>18</v>
      </c>
      <c r="K215" s="24">
        <v>15</v>
      </c>
      <c r="L215" s="16"/>
    </row>
    <row r="216" s="4" customFormat="1" ht="33" customHeight="1" spans="1:12">
      <c r="A216" s="10">
        <v>213</v>
      </c>
      <c r="B216" s="10" t="str">
        <f>"董巧林"</f>
        <v>董巧林</v>
      </c>
      <c r="C216" s="10" t="str">
        <f>"女        "</f>
        <v>女        </v>
      </c>
      <c r="D216" s="10" t="str">
        <f>"汉族"</f>
        <v>汉族</v>
      </c>
      <c r="E216" s="10" t="str">
        <f>"云南省曲靖市罗平县马街镇小寨村"</f>
        <v>云南省曲靖市罗平县马街镇小寨村</v>
      </c>
      <c r="F216" s="10" t="str">
        <f t="shared" si="26"/>
        <v>初中</v>
      </c>
      <c r="G216" s="10" t="str">
        <f t="shared" ref="G216:G230" si="28">"209:生物"</f>
        <v>209:生物</v>
      </c>
      <c r="H216" s="10"/>
      <c r="I216" s="9" t="s">
        <v>36</v>
      </c>
      <c r="J216" s="26">
        <v>88.7</v>
      </c>
      <c r="K216" s="22">
        <v>1</v>
      </c>
      <c r="L216" s="16" t="s">
        <v>15</v>
      </c>
    </row>
    <row r="217" s="4" customFormat="1" ht="33" customHeight="1" spans="1:12">
      <c r="A217" s="10">
        <v>214</v>
      </c>
      <c r="B217" s="10" t="str">
        <f>"王秀兰"</f>
        <v>王秀兰</v>
      </c>
      <c r="C217" s="10" t="str">
        <f>"女        "</f>
        <v>女        </v>
      </c>
      <c r="D217" s="10" t="str">
        <f>"汉族"</f>
        <v>汉族</v>
      </c>
      <c r="E217" s="10" t="str">
        <f>""</f>
        <v/>
      </c>
      <c r="F217" s="10" t="str">
        <f t="shared" si="26"/>
        <v>初中</v>
      </c>
      <c r="G217" s="10" t="str">
        <f t="shared" si="28"/>
        <v>209:生物</v>
      </c>
      <c r="H217" s="10"/>
      <c r="I217" s="9" t="s">
        <v>36</v>
      </c>
      <c r="J217" s="26">
        <v>86.63</v>
      </c>
      <c r="K217" s="22">
        <v>2</v>
      </c>
      <c r="L217" s="16" t="s">
        <v>15</v>
      </c>
    </row>
    <row r="218" s="4" customFormat="1" ht="33" customHeight="1" spans="1:12">
      <c r="A218" s="10">
        <v>215</v>
      </c>
      <c r="B218" s="10" t="str">
        <f>"杨静"</f>
        <v>杨静</v>
      </c>
      <c r="C218" s="10" t="str">
        <f>"女        "</f>
        <v>女        </v>
      </c>
      <c r="D218" s="10" t="str">
        <f>"土家族"</f>
        <v>土家族</v>
      </c>
      <c r="E218" s="10" t="str">
        <f>"贵州省凤冈县进化镇熊坪村上坝组16号"</f>
        <v>贵州省凤冈县进化镇熊坪村上坝组16号</v>
      </c>
      <c r="F218" s="10" t="str">
        <f t="shared" si="26"/>
        <v>初中</v>
      </c>
      <c r="G218" s="10" t="str">
        <f t="shared" si="28"/>
        <v>209:生物</v>
      </c>
      <c r="H218" s="10"/>
      <c r="I218" s="9" t="s">
        <v>36</v>
      </c>
      <c r="J218" s="26">
        <v>85.51</v>
      </c>
      <c r="K218" s="22">
        <v>3</v>
      </c>
      <c r="L218" s="16" t="s">
        <v>15</v>
      </c>
    </row>
    <row r="219" s="4" customFormat="1" ht="33" customHeight="1" spans="1:12">
      <c r="A219" s="10">
        <v>216</v>
      </c>
      <c r="B219" s="10" t="str">
        <f>"李彦明"</f>
        <v>李彦明</v>
      </c>
      <c r="C219" s="10" t="str">
        <f>"男        "</f>
        <v>男        </v>
      </c>
      <c r="D219" s="10" t="str">
        <f>"汉族"</f>
        <v>汉族</v>
      </c>
      <c r="E219" s="10" t="str">
        <f>"云南省曲靖市富源县十八连山镇雨汪村委会金牛南路23号"</f>
        <v>云南省曲靖市富源县十八连山镇雨汪村委会金牛南路23号</v>
      </c>
      <c r="F219" s="10" t="str">
        <f t="shared" si="26"/>
        <v>初中</v>
      </c>
      <c r="G219" s="10" t="str">
        <f t="shared" si="28"/>
        <v>209:生物</v>
      </c>
      <c r="H219" s="10"/>
      <c r="I219" s="9" t="s">
        <v>36</v>
      </c>
      <c r="J219" s="26">
        <v>84.93</v>
      </c>
      <c r="K219" s="22">
        <v>4</v>
      </c>
      <c r="L219" s="16" t="s">
        <v>15</v>
      </c>
    </row>
    <row r="220" s="4" customFormat="1" ht="33" customHeight="1" spans="1:12">
      <c r="A220" s="10">
        <v>217</v>
      </c>
      <c r="B220" s="10" t="str">
        <f>"甘玉"</f>
        <v>甘玉</v>
      </c>
      <c r="C220" s="10" t="str">
        <f>"女        "</f>
        <v>女        </v>
      </c>
      <c r="D220" s="10" t="str">
        <f>"彝族"</f>
        <v>彝族</v>
      </c>
      <c r="E220" s="10" t="str">
        <f>"贵州省兴仁县民建乡"</f>
        <v>贵州省兴仁县民建乡</v>
      </c>
      <c r="F220" s="10" t="str">
        <f t="shared" si="26"/>
        <v>初中</v>
      </c>
      <c r="G220" s="10" t="str">
        <f t="shared" si="28"/>
        <v>209:生物</v>
      </c>
      <c r="H220" s="10"/>
      <c r="I220" s="9" t="s">
        <v>36</v>
      </c>
      <c r="J220" s="26">
        <v>84.91</v>
      </c>
      <c r="K220" s="22">
        <v>5</v>
      </c>
      <c r="L220" s="16" t="s">
        <v>15</v>
      </c>
    </row>
    <row r="221" s="4" customFormat="1" ht="33" customHeight="1" spans="1:12">
      <c r="A221" s="10">
        <v>218</v>
      </c>
      <c r="B221" s="10" t="str">
        <f>"王正飞"</f>
        <v>王正飞</v>
      </c>
      <c r="C221" s="10" t="str">
        <f>"男        "</f>
        <v>男        </v>
      </c>
      <c r="D221" s="10" t="str">
        <f>"布依族"</f>
        <v>布依族</v>
      </c>
      <c r="E221" s="10" t="str">
        <f>"贵州省册亨县威旁乡江见村打浪组"</f>
        <v>贵州省册亨县威旁乡江见村打浪组</v>
      </c>
      <c r="F221" s="10" t="str">
        <f t="shared" si="26"/>
        <v>初中</v>
      </c>
      <c r="G221" s="10" t="str">
        <f t="shared" si="28"/>
        <v>209:生物</v>
      </c>
      <c r="H221" s="10"/>
      <c r="I221" s="9" t="s">
        <v>36</v>
      </c>
      <c r="J221" s="26">
        <v>84.71</v>
      </c>
      <c r="K221" s="24">
        <v>6</v>
      </c>
      <c r="L221" s="16"/>
    </row>
    <row r="222" s="4" customFormat="1" ht="33" customHeight="1" spans="1:12">
      <c r="A222" s="10">
        <v>219</v>
      </c>
      <c r="B222" s="10" t="str">
        <f>"韦凤凤"</f>
        <v>韦凤凤</v>
      </c>
      <c r="C222" s="10" t="str">
        <f>"女        "</f>
        <v>女        </v>
      </c>
      <c r="D222" s="10" t="str">
        <f>"布依族"</f>
        <v>布依族</v>
      </c>
      <c r="E222" s="10" t="str">
        <f>"贵州省册亨县者楼镇册阳村"</f>
        <v>贵州省册亨县者楼镇册阳村</v>
      </c>
      <c r="F222" s="10" t="str">
        <f t="shared" si="26"/>
        <v>初中</v>
      </c>
      <c r="G222" s="10" t="str">
        <f t="shared" si="28"/>
        <v>209:生物</v>
      </c>
      <c r="H222" s="10"/>
      <c r="I222" s="9" t="s">
        <v>36</v>
      </c>
      <c r="J222" s="26">
        <v>84.4</v>
      </c>
      <c r="K222" s="24">
        <v>7</v>
      </c>
      <c r="L222" s="16"/>
    </row>
    <row r="223" s="4" customFormat="1" ht="33" customHeight="1" spans="1:12">
      <c r="A223" s="10">
        <v>220</v>
      </c>
      <c r="B223" s="10" t="str">
        <f>"王利春"</f>
        <v>王利春</v>
      </c>
      <c r="C223" s="10" t="str">
        <f>"女        "</f>
        <v>女        </v>
      </c>
      <c r="D223" s="10" t="str">
        <f>"布依族"</f>
        <v>布依族</v>
      </c>
      <c r="E223" s="10" t="str">
        <f>"贵州省安龙县坡脚乡乐欢村一组"</f>
        <v>贵州省安龙县坡脚乡乐欢村一组</v>
      </c>
      <c r="F223" s="10" t="str">
        <f t="shared" si="26"/>
        <v>初中</v>
      </c>
      <c r="G223" s="10" t="str">
        <f t="shared" si="28"/>
        <v>209:生物</v>
      </c>
      <c r="H223" s="10"/>
      <c r="I223" s="9" t="s">
        <v>36</v>
      </c>
      <c r="J223" s="26">
        <v>83.87</v>
      </c>
      <c r="K223" s="24">
        <v>8</v>
      </c>
      <c r="L223" s="16"/>
    </row>
    <row r="224" s="4" customFormat="1" ht="33" customHeight="1" spans="1:12">
      <c r="A224" s="10">
        <v>221</v>
      </c>
      <c r="B224" s="10" t="str">
        <f>"杨胜暑"</f>
        <v>杨胜暑</v>
      </c>
      <c r="C224" s="10" t="str">
        <f>"女        "</f>
        <v>女        </v>
      </c>
      <c r="D224" s="10" t="str">
        <f>"布依族"</f>
        <v>布依族</v>
      </c>
      <c r="E224" s="10" t="str">
        <f>"贵州省望谟县郊纳乡大课六村打从一组"</f>
        <v>贵州省望谟县郊纳乡大课六村打从一组</v>
      </c>
      <c r="F224" s="10" t="str">
        <f t="shared" si="26"/>
        <v>初中</v>
      </c>
      <c r="G224" s="10" t="str">
        <f t="shared" si="28"/>
        <v>209:生物</v>
      </c>
      <c r="H224" s="10"/>
      <c r="I224" s="9" t="s">
        <v>36</v>
      </c>
      <c r="J224" s="26">
        <v>83.06</v>
      </c>
      <c r="K224" s="24">
        <v>9</v>
      </c>
      <c r="L224" s="16"/>
    </row>
    <row r="225" s="4" customFormat="1" ht="33" customHeight="1" spans="1:12">
      <c r="A225" s="10">
        <v>222</v>
      </c>
      <c r="B225" s="10" t="str">
        <f>"杨胜梅"</f>
        <v>杨胜梅</v>
      </c>
      <c r="C225" s="10" t="str">
        <f>"女        "</f>
        <v>女        </v>
      </c>
      <c r="D225" s="10" t="str">
        <f>"苗族"</f>
        <v>苗族</v>
      </c>
      <c r="E225" s="10" t="str">
        <f>"贵州省黄平县旧州镇文峰村七组"</f>
        <v>贵州省黄平县旧州镇文峰村七组</v>
      </c>
      <c r="F225" s="10" t="str">
        <f t="shared" si="26"/>
        <v>初中</v>
      </c>
      <c r="G225" s="10" t="str">
        <f t="shared" si="28"/>
        <v>209:生物</v>
      </c>
      <c r="H225" s="10"/>
      <c r="I225" s="9" t="s">
        <v>36</v>
      </c>
      <c r="J225" s="26">
        <v>82.64</v>
      </c>
      <c r="K225" s="24">
        <v>10</v>
      </c>
      <c r="L225" s="16"/>
    </row>
    <row r="226" s="4" customFormat="1" ht="33" customHeight="1" spans="1:12">
      <c r="A226" s="10">
        <v>223</v>
      </c>
      <c r="B226" s="10" t="str">
        <f>"孔鑫"</f>
        <v>孔鑫</v>
      </c>
      <c r="C226" s="10" t="str">
        <f>"男        "</f>
        <v>男        </v>
      </c>
      <c r="D226" s="10" t="str">
        <f>"汉族"</f>
        <v>汉族</v>
      </c>
      <c r="E226" s="10" t="str">
        <f>"云南省宣威市杨柳乡水塘村下洋洞社"</f>
        <v>云南省宣威市杨柳乡水塘村下洋洞社</v>
      </c>
      <c r="F226" s="10" t="str">
        <f t="shared" si="26"/>
        <v>初中</v>
      </c>
      <c r="G226" s="10" t="str">
        <f t="shared" si="28"/>
        <v>209:生物</v>
      </c>
      <c r="H226" s="10"/>
      <c r="I226" s="9" t="s">
        <v>36</v>
      </c>
      <c r="J226" s="26">
        <v>81.4</v>
      </c>
      <c r="K226" s="24">
        <v>11</v>
      </c>
      <c r="L226" s="16"/>
    </row>
    <row r="227" s="4" customFormat="1" ht="33" customHeight="1" spans="1:12">
      <c r="A227" s="10">
        <v>224</v>
      </c>
      <c r="B227" s="10" t="str">
        <f>"韦珍妮"</f>
        <v>韦珍妮</v>
      </c>
      <c r="C227" s="10" t="str">
        <f>"女        "</f>
        <v>女        </v>
      </c>
      <c r="D227" s="10" t="str">
        <f>"壮族"</f>
        <v>壮族</v>
      </c>
      <c r="E227" s="10" t="str">
        <f>"广西百色市隆林县新州镇新兴社区迎宾路1766号"</f>
        <v>广西百色市隆林县新州镇新兴社区迎宾路1766号</v>
      </c>
      <c r="F227" s="10" t="str">
        <f t="shared" si="26"/>
        <v>初中</v>
      </c>
      <c r="G227" s="10" t="str">
        <f t="shared" si="28"/>
        <v>209:生物</v>
      </c>
      <c r="H227" s="10"/>
      <c r="I227" s="9" t="s">
        <v>36</v>
      </c>
      <c r="J227" s="26">
        <v>80.86</v>
      </c>
      <c r="K227" s="24">
        <v>12</v>
      </c>
      <c r="L227" s="16"/>
    </row>
    <row r="228" s="4" customFormat="1" ht="33" customHeight="1" spans="1:12">
      <c r="A228" s="10">
        <v>225</v>
      </c>
      <c r="B228" s="10" t="str">
        <f>"何艳香"</f>
        <v>何艳香</v>
      </c>
      <c r="C228" s="10" t="str">
        <f>"女        "</f>
        <v>女        </v>
      </c>
      <c r="D228" s="10" t="str">
        <f>"壮族"</f>
        <v>壮族</v>
      </c>
      <c r="E228" s="10" t="str">
        <f>"云南省文山州广南县坝美镇洛里村弄追组"</f>
        <v>云南省文山州广南县坝美镇洛里村弄追组</v>
      </c>
      <c r="F228" s="10" t="str">
        <f t="shared" si="26"/>
        <v>初中</v>
      </c>
      <c r="G228" s="10" t="str">
        <f t="shared" si="28"/>
        <v>209:生物</v>
      </c>
      <c r="H228" s="10"/>
      <c r="I228" s="9" t="s">
        <v>36</v>
      </c>
      <c r="J228" s="26">
        <v>79.1</v>
      </c>
      <c r="K228" s="24">
        <v>13</v>
      </c>
      <c r="L228" s="16"/>
    </row>
    <row r="229" s="4" customFormat="1" ht="33" customHeight="1" spans="1:12">
      <c r="A229" s="10">
        <v>226</v>
      </c>
      <c r="B229" s="10" t="str">
        <f>"郭刘平"</f>
        <v>郭刘平</v>
      </c>
      <c r="C229" s="10" t="str">
        <f t="shared" ref="C229:C236" si="29">"男        "</f>
        <v>男        </v>
      </c>
      <c r="D229" s="10" t="str">
        <f>"汉族"</f>
        <v>汉族</v>
      </c>
      <c r="E229" s="10" t="str">
        <f>"云南省曲靖市罗平县"</f>
        <v>云南省曲靖市罗平县</v>
      </c>
      <c r="F229" s="10" t="str">
        <f t="shared" si="26"/>
        <v>初中</v>
      </c>
      <c r="G229" s="10" t="str">
        <f t="shared" si="28"/>
        <v>209:生物</v>
      </c>
      <c r="H229" s="10"/>
      <c r="I229" s="9" t="s">
        <v>36</v>
      </c>
      <c r="J229" s="26">
        <v>70.21</v>
      </c>
      <c r="K229" s="24">
        <v>14</v>
      </c>
      <c r="L229" s="16"/>
    </row>
    <row r="230" s="4" customFormat="1" ht="33" customHeight="1" spans="1:12">
      <c r="A230" s="10">
        <v>227</v>
      </c>
      <c r="B230" s="10" t="str">
        <f>"高计"</f>
        <v>高计</v>
      </c>
      <c r="C230" s="10" t="str">
        <f t="shared" si="29"/>
        <v>男        </v>
      </c>
      <c r="D230" s="10" t="str">
        <f>"汉族"</f>
        <v>汉族</v>
      </c>
      <c r="E230" s="10" t="str">
        <f>"云南省曲靖市会泽县"</f>
        <v>云南省曲靖市会泽县</v>
      </c>
      <c r="F230" s="10" t="str">
        <f t="shared" si="26"/>
        <v>初中</v>
      </c>
      <c r="G230" s="10" t="str">
        <f t="shared" si="28"/>
        <v>209:生物</v>
      </c>
      <c r="H230" s="10"/>
      <c r="I230" s="9" t="s">
        <v>36</v>
      </c>
      <c r="J230" s="27" t="s">
        <v>18</v>
      </c>
      <c r="K230" s="24">
        <v>15</v>
      </c>
      <c r="L230" s="16"/>
    </row>
    <row r="231" s="4" customFormat="1" ht="33" customHeight="1" spans="1:12">
      <c r="A231" s="10">
        <v>228</v>
      </c>
      <c r="B231" s="10" t="str">
        <f>"黄文志"</f>
        <v>黄文志</v>
      </c>
      <c r="C231" s="10" t="str">
        <f t="shared" si="29"/>
        <v>男        </v>
      </c>
      <c r="D231" s="10" t="str">
        <f>"壮族"</f>
        <v>壮族</v>
      </c>
      <c r="E231" s="10" t="str">
        <f>"广西百色市隆林县平班镇委哉村弄乃屯"</f>
        <v>广西百色市隆林县平班镇委哉村弄乃屯</v>
      </c>
      <c r="F231" s="10" t="str">
        <f t="shared" si="26"/>
        <v>初中</v>
      </c>
      <c r="G231" s="10" t="str">
        <f t="shared" ref="G231:G242" si="30">"210:物理"</f>
        <v>210:物理</v>
      </c>
      <c r="H231" s="10"/>
      <c r="I231" s="10" t="s">
        <v>37</v>
      </c>
      <c r="J231" s="26">
        <v>86.9</v>
      </c>
      <c r="K231" s="22">
        <v>1</v>
      </c>
      <c r="L231" s="16" t="s">
        <v>15</v>
      </c>
    </row>
    <row r="232" s="4" customFormat="1" ht="33" customHeight="1" spans="1:12">
      <c r="A232" s="10">
        <v>229</v>
      </c>
      <c r="B232" s="10" t="str">
        <f>"张涛"</f>
        <v>张涛</v>
      </c>
      <c r="C232" s="10" t="str">
        <f t="shared" si="29"/>
        <v>男        </v>
      </c>
      <c r="D232" s="10" t="str">
        <f>"白族"</f>
        <v>白族</v>
      </c>
      <c r="E232" s="10" t="str">
        <f>"贵州省大方县大山乡光华村东方组"</f>
        <v>贵州省大方县大山乡光华村东方组</v>
      </c>
      <c r="F232" s="10" t="str">
        <f t="shared" si="26"/>
        <v>初中</v>
      </c>
      <c r="G232" s="10" t="str">
        <f t="shared" si="30"/>
        <v>210:物理</v>
      </c>
      <c r="H232" s="10"/>
      <c r="I232" s="10" t="s">
        <v>37</v>
      </c>
      <c r="J232" s="26">
        <v>84.16</v>
      </c>
      <c r="K232" s="22">
        <v>2</v>
      </c>
      <c r="L232" s="16" t="s">
        <v>15</v>
      </c>
    </row>
    <row r="233" s="4" customFormat="1" ht="33" customHeight="1" spans="1:12">
      <c r="A233" s="10">
        <v>230</v>
      </c>
      <c r="B233" s="10" t="str">
        <f>"余天兵"</f>
        <v>余天兵</v>
      </c>
      <c r="C233" s="10" t="str">
        <f t="shared" si="29"/>
        <v>男        </v>
      </c>
      <c r="D233" s="10" t="str">
        <f>"布依族"</f>
        <v>布依族</v>
      </c>
      <c r="E233" s="10" t="str">
        <f>"贵州省贞丰县龙场镇对门山村庞家湾组"</f>
        <v>贵州省贞丰县龙场镇对门山村庞家湾组</v>
      </c>
      <c r="F233" s="10" t="str">
        <f t="shared" si="26"/>
        <v>初中</v>
      </c>
      <c r="G233" s="10" t="str">
        <f t="shared" si="30"/>
        <v>210:物理</v>
      </c>
      <c r="H233" s="10"/>
      <c r="I233" s="10" t="s">
        <v>37</v>
      </c>
      <c r="J233" s="26">
        <v>83.54</v>
      </c>
      <c r="K233" s="22">
        <v>3</v>
      </c>
      <c r="L233" s="16" t="s">
        <v>15</v>
      </c>
    </row>
    <row r="234" s="4" customFormat="1" ht="33" customHeight="1" spans="1:12">
      <c r="A234" s="10">
        <v>231</v>
      </c>
      <c r="B234" s="10" t="str">
        <f>"滕明旺"</f>
        <v>滕明旺</v>
      </c>
      <c r="C234" s="10" t="str">
        <f t="shared" si="29"/>
        <v>男        </v>
      </c>
      <c r="D234" s="10" t="str">
        <f>"侗族"</f>
        <v>侗族</v>
      </c>
      <c r="E234" s="10" t="str">
        <f>"贵州省望谟县郊纳乡长十干村采山组"</f>
        <v>贵州省望谟县郊纳乡长十干村采山组</v>
      </c>
      <c r="F234" s="10" t="str">
        <f t="shared" si="26"/>
        <v>初中</v>
      </c>
      <c r="G234" s="10" t="str">
        <f t="shared" si="30"/>
        <v>210:物理</v>
      </c>
      <c r="H234" s="10"/>
      <c r="I234" s="10" t="s">
        <v>37</v>
      </c>
      <c r="J234" s="26">
        <v>82.94</v>
      </c>
      <c r="K234" s="22">
        <v>4</v>
      </c>
      <c r="L234" s="16" t="s">
        <v>15</v>
      </c>
    </row>
    <row r="235" s="4" customFormat="1" ht="33" customHeight="1" spans="1:12">
      <c r="A235" s="10">
        <v>232</v>
      </c>
      <c r="B235" s="10" t="str">
        <f>"常鸽"</f>
        <v>常鸽</v>
      </c>
      <c r="C235" s="10" t="str">
        <f t="shared" si="29"/>
        <v>男        </v>
      </c>
      <c r="D235" s="10" t="str">
        <f>"汉族"</f>
        <v>汉族</v>
      </c>
      <c r="E235" s="10" t="str">
        <f>"云南省玉溪市江川区九溪镇喜乐庄村委会喜乐庄村261号"</f>
        <v>云南省玉溪市江川区九溪镇喜乐庄村委会喜乐庄村261号</v>
      </c>
      <c r="F235" s="10" t="str">
        <f t="shared" si="26"/>
        <v>初中</v>
      </c>
      <c r="G235" s="10" t="str">
        <f t="shared" si="30"/>
        <v>210:物理</v>
      </c>
      <c r="H235" s="10"/>
      <c r="I235" s="10" t="s">
        <v>37</v>
      </c>
      <c r="J235" s="26">
        <v>82.84</v>
      </c>
      <c r="K235" s="22">
        <v>5</v>
      </c>
      <c r="L235" s="16" t="s">
        <v>15</v>
      </c>
    </row>
    <row r="236" s="4" customFormat="1" ht="33" customHeight="1" spans="1:12">
      <c r="A236" s="10">
        <v>233</v>
      </c>
      <c r="B236" s="10" t="str">
        <f>"王小超"</f>
        <v>王小超</v>
      </c>
      <c r="C236" s="10" t="str">
        <f t="shared" si="29"/>
        <v>男        </v>
      </c>
      <c r="D236" s="10" t="str">
        <f>"汉族"</f>
        <v>汉族</v>
      </c>
      <c r="E236" s="10" t="str">
        <f>"云南省曲靖市罗平县马街镇马街居委会阿市村"</f>
        <v>云南省曲靖市罗平县马街镇马街居委会阿市村</v>
      </c>
      <c r="F236" s="10" t="str">
        <f t="shared" si="26"/>
        <v>初中</v>
      </c>
      <c r="G236" s="10" t="str">
        <f t="shared" si="30"/>
        <v>210:物理</v>
      </c>
      <c r="H236" s="10"/>
      <c r="I236" s="10" t="s">
        <v>37</v>
      </c>
      <c r="J236" s="26">
        <v>81.8</v>
      </c>
      <c r="K236" s="24">
        <v>6</v>
      </c>
      <c r="L236" s="16"/>
    </row>
    <row r="237" s="4" customFormat="1" ht="33" customHeight="1" spans="1:12">
      <c r="A237" s="10">
        <v>234</v>
      </c>
      <c r="B237" s="10" t="str">
        <f>"余丽芳"</f>
        <v>余丽芳</v>
      </c>
      <c r="C237" s="10" t="str">
        <f>"女        "</f>
        <v>女        </v>
      </c>
      <c r="D237" s="10" t="str">
        <f>"汉族"</f>
        <v>汉族</v>
      </c>
      <c r="E237" s="10" t="str">
        <f>"云南省曲靖市沾益县炎方乡"</f>
        <v>云南省曲靖市沾益县炎方乡</v>
      </c>
      <c r="F237" s="10" t="str">
        <f t="shared" si="26"/>
        <v>初中</v>
      </c>
      <c r="G237" s="10" t="str">
        <f t="shared" si="30"/>
        <v>210:物理</v>
      </c>
      <c r="H237" s="10"/>
      <c r="I237" s="10" t="s">
        <v>37</v>
      </c>
      <c r="J237" s="26">
        <v>81.68</v>
      </c>
      <c r="K237" s="24">
        <v>7</v>
      </c>
      <c r="L237" s="16"/>
    </row>
    <row r="238" s="4" customFormat="1" ht="33" customHeight="1" spans="1:12">
      <c r="A238" s="10">
        <v>235</v>
      </c>
      <c r="B238" s="10" t="str">
        <f>"农承雄"</f>
        <v>农承雄</v>
      </c>
      <c r="C238" s="10" t="str">
        <f>"男        "</f>
        <v>男        </v>
      </c>
      <c r="D238" s="10" t="str">
        <f>"壮族"</f>
        <v>壮族</v>
      </c>
      <c r="E238" s="10" t="str">
        <f>"云南省文山州广南县坝美镇普南村安卡小组"</f>
        <v>云南省文山州广南县坝美镇普南村安卡小组</v>
      </c>
      <c r="F238" s="10" t="str">
        <f t="shared" si="26"/>
        <v>初中</v>
      </c>
      <c r="G238" s="10" t="str">
        <f t="shared" si="30"/>
        <v>210:物理</v>
      </c>
      <c r="H238" s="10"/>
      <c r="I238" s="10" t="s">
        <v>37</v>
      </c>
      <c r="J238" s="26">
        <v>79.6</v>
      </c>
      <c r="K238" s="24">
        <v>8</v>
      </c>
      <c r="L238" s="16"/>
    </row>
    <row r="239" s="4" customFormat="1" ht="33" customHeight="1" spans="1:12">
      <c r="A239" s="10">
        <v>236</v>
      </c>
      <c r="B239" s="10" t="str">
        <f>"潘光礼"</f>
        <v>潘光礼</v>
      </c>
      <c r="C239" s="10" t="str">
        <f>"男        "</f>
        <v>男        </v>
      </c>
      <c r="D239" s="10" t="str">
        <f>"壮族"</f>
        <v>壮族</v>
      </c>
      <c r="E239" s="10" t="str">
        <f>"云南省文山州广南县坝美镇者卡村"</f>
        <v>云南省文山州广南县坝美镇者卡村</v>
      </c>
      <c r="F239" s="10" t="str">
        <f t="shared" si="26"/>
        <v>初中</v>
      </c>
      <c r="G239" s="10" t="str">
        <f t="shared" si="30"/>
        <v>210:物理</v>
      </c>
      <c r="H239" s="10"/>
      <c r="I239" s="10" t="s">
        <v>37</v>
      </c>
      <c r="J239" s="26">
        <v>79.54</v>
      </c>
      <c r="K239" s="24">
        <v>9</v>
      </c>
      <c r="L239" s="16"/>
    </row>
    <row r="240" s="4" customFormat="1" ht="33" customHeight="1" spans="1:12">
      <c r="A240" s="10">
        <v>237</v>
      </c>
      <c r="B240" s="10" t="str">
        <f>"胡昌米"</f>
        <v>胡昌米</v>
      </c>
      <c r="C240" s="10" t="str">
        <f>"女        "</f>
        <v>女        </v>
      </c>
      <c r="D240" s="10" t="str">
        <f>"彝族"</f>
        <v>彝族</v>
      </c>
      <c r="E240" s="10" t="str">
        <f>"贵州省盘县马场乡三寨村六组"</f>
        <v>贵州省盘县马场乡三寨村六组</v>
      </c>
      <c r="F240" s="10" t="str">
        <f t="shared" si="26"/>
        <v>初中</v>
      </c>
      <c r="G240" s="10" t="str">
        <f t="shared" si="30"/>
        <v>210:物理</v>
      </c>
      <c r="H240" s="10"/>
      <c r="I240" s="10" t="s">
        <v>37</v>
      </c>
      <c r="J240" s="26">
        <v>79.06</v>
      </c>
      <c r="K240" s="24">
        <v>10</v>
      </c>
      <c r="L240" s="16"/>
    </row>
    <row r="241" s="4" customFormat="1" ht="33" customHeight="1" spans="1:12">
      <c r="A241" s="10">
        <v>238</v>
      </c>
      <c r="B241" s="10" t="str">
        <f>"杨铭"</f>
        <v>杨铭</v>
      </c>
      <c r="C241" s="10" t="str">
        <f>"男        "</f>
        <v>男        </v>
      </c>
      <c r="D241" s="10" t="str">
        <f>"汉族"</f>
        <v>汉族</v>
      </c>
      <c r="E241" s="10" t="str">
        <f>"云南省昆明市官渡区矣六街道子君村居安园9栋1单元704"</f>
        <v>云南省昆明市官渡区矣六街道子君村居安园9栋1单元704</v>
      </c>
      <c r="F241" s="10" t="str">
        <f t="shared" si="26"/>
        <v>初中</v>
      </c>
      <c r="G241" s="10" t="str">
        <f t="shared" si="30"/>
        <v>210:物理</v>
      </c>
      <c r="H241" s="10"/>
      <c r="I241" s="10" t="s">
        <v>37</v>
      </c>
      <c r="J241" s="26">
        <v>77.74</v>
      </c>
      <c r="K241" s="24">
        <v>11</v>
      </c>
      <c r="L241" s="16"/>
    </row>
    <row r="242" s="4" customFormat="1" ht="33" customHeight="1" spans="1:12">
      <c r="A242" s="10">
        <v>239</v>
      </c>
      <c r="B242" s="10" t="str">
        <f>"曹静"</f>
        <v>曹静</v>
      </c>
      <c r="C242" s="10" t="str">
        <f>"女        "</f>
        <v>女        </v>
      </c>
      <c r="D242" s="10" t="str">
        <f>"阿昌族"</f>
        <v>阿昌族</v>
      </c>
      <c r="E242" s="10" t="str">
        <f>"云南省德宏州梁河县"</f>
        <v>云南省德宏州梁河县</v>
      </c>
      <c r="F242" s="10" t="str">
        <f t="shared" si="26"/>
        <v>初中</v>
      </c>
      <c r="G242" s="10" t="str">
        <f t="shared" si="30"/>
        <v>210:物理</v>
      </c>
      <c r="H242" s="10"/>
      <c r="I242" s="10" t="s">
        <v>37</v>
      </c>
      <c r="J242" s="27" t="s">
        <v>18</v>
      </c>
      <c r="K242" s="24">
        <v>12</v>
      </c>
      <c r="L242" s="16"/>
    </row>
    <row r="243" s="4" customFormat="1" ht="33" customHeight="1" spans="1:12">
      <c r="A243" s="10">
        <v>240</v>
      </c>
      <c r="B243" s="10" t="str">
        <f>"许艳永"</f>
        <v>许艳永</v>
      </c>
      <c r="C243" s="10" t="str">
        <f>"男        "</f>
        <v>男        </v>
      </c>
      <c r="D243" s="10" t="str">
        <f>"汉族"</f>
        <v>汉族</v>
      </c>
      <c r="E243" s="10" t="str">
        <f>"云南省曲靖市沾益县盘江镇中村村委会青维村19号"</f>
        <v>云南省曲靖市沾益县盘江镇中村村委会青维村19号</v>
      </c>
      <c r="F243" s="10" t="str">
        <f t="shared" ref="F243:F274" si="31">"小学"</f>
        <v>小学</v>
      </c>
      <c r="G243" s="10" t="str">
        <f t="shared" ref="G243:G274" si="32">"103:数学"</f>
        <v>103:数学</v>
      </c>
      <c r="H243" s="10" t="s">
        <v>24</v>
      </c>
      <c r="I243" s="25" t="s">
        <v>38</v>
      </c>
      <c r="J243" s="26">
        <v>89.3</v>
      </c>
      <c r="K243" s="22">
        <v>1</v>
      </c>
      <c r="L243" s="16" t="s">
        <v>15</v>
      </c>
    </row>
    <row r="244" s="4" customFormat="1" ht="33" customHeight="1" spans="1:12">
      <c r="A244" s="10">
        <v>241</v>
      </c>
      <c r="B244" s="10" t="str">
        <f>"顾德明"</f>
        <v>顾德明</v>
      </c>
      <c r="C244" s="10" t="str">
        <f>"男        "</f>
        <v>男        </v>
      </c>
      <c r="D244" s="10" t="str">
        <f>"汉族"</f>
        <v>汉族</v>
      </c>
      <c r="E244" s="10" t="str">
        <f>"贵州省安龙县龙广镇双合村顾屯四组3号"</f>
        <v>贵州省安龙县龙广镇双合村顾屯四组3号</v>
      </c>
      <c r="F244" s="10" t="str">
        <f t="shared" si="31"/>
        <v>小学</v>
      </c>
      <c r="G244" s="10" t="str">
        <f t="shared" si="32"/>
        <v>103:数学</v>
      </c>
      <c r="H244" s="10" t="s">
        <v>24</v>
      </c>
      <c r="I244" s="25" t="s">
        <v>38</v>
      </c>
      <c r="J244" s="26">
        <v>86.6</v>
      </c>
      <c r="K244" s="22">
        <v>2</v>
      </c>
      <c r="L244" s="16" t="s">
        <v>15</v>
      </c>
    </row>
    <row r="245" s="4" customFormat="1" ht="33" customHeight="1" spans="1:12">
      <c r="A245" s="10">
        <v>242</v>
      </c>
      <c r="B245" s="10" t="str">
        <f>"张胜"</f>
        <v>张胜</v>
      </c>
      <c r="C245" s="10" t="str">
        <f>"男        "</f>
        <v>男        </v>
      </c>
      <c r="D245" s="10" t="str">
        <f>"汉族"</f>
        <v>汉族</v>
      </c>
      <c r="E245" s="10" t="str">
        <f>"贵州省兴仁县下山镇白岩村下寨组5号"</f>
        <v>贵州省兴仁县下山镇白岩村下寨组5号</v>
      </c>
      <c r="F245" s="10" t="str">
        <f t="shared" si="31"/>
        <v>小学</v>
      </c>
      <c r="G245" s="10" t="str">
        <f t="shared" si="32"/>
        <v>103:数学</v>
      </c>
      <c r="H245" s="10" t="s">
        <v>24</v>
      </c>
      <c r="I245" s="25" t="s">
        <v>38</v>
      </c>
      <c r="J245" s="26">
        <v>86</v>
      </c>
      <c r="K245" s="24">
        <v>3</v>
      </c>
      <c r="L245" s="16"/>
    </row>
    <row r="246" s="4" customFormat="1" ht="33" customHeight="1" spans="1:12">
      <c r="A246" s="10">
        <v>243</v>
      </c>
      <c r="B246" s="10" t="str">
        <f>"李交丽"</f>
        <v>李交丽</v>
      </c>
      <c r="C246" s="10" t="str">
        <f>"女        "</f>
        <v>女        </v>
      </c>
      <c r="D246" s="10" t="str">
        <f>"汉族"</f>
        <v>汉族</v>
      </c>
      <c r="E246" s="10" t="str">
        <f>"云南省曲靖市富源县富村镇新店村委会小高寨村"</f>
        <v>云南省曲靖市富源县富村镇新店村委会小高寨村</v>
      </c>
      <c r="F246" s="10" t="str">
        <f t="shared" si="31"/>
        <v>小学</v>
      </c>
      <c r="G246" s="10" t="str">
        <f t="shared" si="32"/>
        <v>103:数学</v>
      </c>
      <c r="H246" s="10" t="s">
        <v>24</v>
      </c>
      <c r="I246" s="25" t="s">
        <v>38</v>
      </c>
      <c r="J246" s="26">
        <v>84.2</v>
      </c>
      <c r="K246" s="24">
        <v>4</v>
      </c>
      <c r="L246" s="16"/>
    </row>
    <row r="247" s="4" customFormat="1" ht="33" customHeight="1" spans="1:12">
      <c r="A247" s="10">
        <v>244</v>
      </c>
      <c r="B247" s="10" t="str">
        <f>"魏东梅"</f>
        <v>魏东梅</v>
      </c>
      <c r="C247" s="10" t="str">
        <f>"女        "</f>
        <v>女        </v>
      </c>
      <c r="D247" s="10" t="str">
        <f>"汉族"</f>
        <v>汉族</v>
      </c>
      <c r="E247" s="10" t="str">
        <f>"云南省曲靖市沾益区播乐乡水田村委会"</f>
        <v>云南省曲靖市沾益区播乐乡水田村委会</v>
      </c>
      <c r="F247" s="10" t="str">
        <f t="shared" si="31"/>
        <v>小学</v>
      </c>
      <c r="G247" s="10" t="str">
        <f t="shared" si="32"/>
        <v>103:数学</v>
      </c>
      <c r="H247" s="10" t="s">
        <v>24</v>
      </c>
      <c r="I247" s="25" t="s">
        <v>38</v>
      </c>
      <c r="J247" s="26">
        <v>84.1</v>
      </c>
      <c r="K247" s="24">
        <v>5</v>
      </c>
      <c r="L247" s="16"/>
    </row>
    <row r="248" s="4" customFormat="1" ht="33" customHeight="1" spans="1:12">
      <c r="A248" s="10">
        <v>245</v>
      </c>
      <c r="B248" s="10" t="str">
        <f>"周宗楷"</f>
        <v>周宗楷</v>
      </c>
      <c r="C248" s="10" t="str">
        <f>"男        "</f>
        <v>男        </v>
      </c>
      <c r="D248" s="10" t="str">
        <f>"侗族"</f>
        <v>侗族</v>
      </c>
      <c r="E248" s="10" t="str">
        <f>"贵州省天柱县渡马乡龙盘村"</f>
        <v>贵州省天柱县渡马乡龙盘村</v>
      </c>
      <c r="F248" s="10" t="str">
        <f t="shared" si="31"/>
        <v>小学</v>
      </c>
      <c r="G248" s="10" t="str">
        <f t="shared" si="32"/>
        <v>103:数学</v>
      </c>
      <c r="H248" s="10" t="s">
        <v>24</v>
      </c>
      <c r="I248" s="25" t="s">
        <v>38</v>
      </c>
      <c r="J248" s="26">
        <v>83</v>
      </c>
      <c r="K248" s="24">
        <v>6</v>
      </c>
      <c r="L248" s="16"/>
    </row>
    <row r="249" s="4" customFormat="1" ht="33" customHeight="1" spans="1:12">
      <c r="A249" s="10">
        <v>246</v>
      </c>
      <c r="B249" s="10" t="str">
        <f>"许会"</f>
        <v>许会</v>
      </c>
      <c r="C249" s="10" t="str">
        <f>"女        "</f>
        <v>女        </v>
      </c>
      <c r="D249" s="10" t="str">
        <f t="shared" ref="D249:D254" si="33">"汉族"</f>
        <v>汉族</v>
      </c>
      <c r="E249" s="10" t="str">
        <f>"贵州省黔西南州兴义市"</f>
        <v>贵州省黔西南州兴义市</v>
      </c>
      <c r="F249" s="10" t="str">
        <f t="shared" si="31"/>
        <v>小学</v>
      </c>
      <c r="G249" s="10" t="str">
        <f t="shared" si="32"/>
        <v>103:数学</v>
      </c>
      <c r="H249" s="10" t="s">
        <v>24</v>
      </c>
      <c r="I249" s="25" t="s">
        <v>38</v>
      </c>
      <c r="J249" s="26">
        <v>82.12</v>
      </c>
      <c r="K249" s="24">
        <v>7</v>
      </c>
      <c r="L249" s="16"/>
    </row>
    <row r="250" s="4" customFormat="1" ht="33" customHeight="1" spans="1:12">
      <c r="A250" s="10">
        <v>247</v>
      </c>
      <c r="B250" s="10" t="str">
        <f>"赵久兴"</f>
        <v>赵久兴</v>
      </c>
      <c r="C250" s="10" t="str">
        <f>"男        "</f>
        <v>男        </v>
      </c>
      <c r="D250" s="10" t="str">
        <f t="shared" si="33"/>
        <v>汉族</v>
      </c>
      <c r="E250" s="10" t="str">
        <f>"贵州省兴仁县波阳镇新寨村"</f>
        <v>贵州省兴仁县波阳镇新寨村</v>
      </c>
      <c r="F250" s="10" t="str">
        <f t="shared" si="31"/>
        <v>小学</v>
      </c>
      <c r="G250" s="10" t="str">
        <f t="shared" si="32"/>
        <v>103:数学</v>
      </c>
      <c r="H250" s="10" t="s">
        <v>24</v>
      </c>
      <c r="I250" s="25" t="s">
        <v>38</v>
      </c>
      <c r="J250" s="26">
        <v>78.7</v>
      </c>
      <c r="K250" s="24">
        <v>8</v>
      </c>
      <c r="L250" s="16"/>
    </row>
    <row r="251" s="4" customFormat="1" ht="33" customHeight="1" spans="1:12">
      <c r="A251" s="10">
        <v>248</v>
      </c>
      <c r="B251" s="10" t="str">
        <f>"田青云"</f>
        <v>田青云</v>
      </c>
      <c r="C251" s="10" t="str">
        <f>"女        "</f>
        <v>女        </v>
      </c>
      <c r="D251" s="10" t="str">
        <f t="shared" si="33"/>
        <v>汉族</v>
      </c>
      <c r="E251" s="10" t="str">
        <f>"广西百色隆林县隆或镇隆或村4屯009号"</f>
        <v>广西百色隆林县隆或镇隆或村4屯009号</v>
      </c>
      <c r="F251" s="10" t="str">
        <f t="shared" si="31"/>
        <v>小学</v>
      </c>
      <c r="G251" s="10" t="str">
        <f t="shared" si="32"/>
        <v>103:数学</v>
      </c>
      <c r="H251" s="10" t="s">
        <v>24</v>
      </c>
      <c r="I251" s="25" t="s">
        <v>38</v>
      </c>
      <c r="J251" s="26">
        <v>78.46</v>
      </c>
      <c r="K251" s="24">
        <v>9</v>
      </c>
      <c r="L251" s="16"/>
    </row>
    <row r="252" s="4" customFormat="1" ht="33" customHeight="1" spans="1:12">
      <c r="A252" s="10">
        <v>249</v>
      </c>
      <c r="B252" s="10" t="str">
        <f>"叶永慧"</f>
        <v>叶永慧</v>
      </c>
      <c r="C252" s="10" t="str">
        <f>"女        "</f>
        <v>女        </v>
      </c>
      <c r="D252" s="10" t="str">
        <f t="shared" si="33"/>
        <v>汉族</v>
      </c>
      <c r="E252" s="10" t="str">
        <f>"贵州省望谟县新屯镇交角村上组"</f>
        <v>贵州省望谟县新屯镇交角村上组</v>
      </c>
      <c r="F252" s="10" t="str">
        <f t="shared" si="31"/>
        <v>小学</v>
      </c>
      <c r="G252" s="10" t="str">
        <f t="shared" si="32"/>
        <v>103:数学</v>
      </c>
      <c r="H252" s="10" t="s">
        <v>24</v>
      </c>
      <c r="I252" s="25" t="s">
        <v>38</v>
      </c>
      <c r="J252" s="26">
        <v>73.8</v>
      </c>
      <c r="K252" s="24">
        <v>10</v>
      </c>
      <c r="L252" s="16"/>
    </row>
    <row r="253" s="4" customFormat="1" ht="33" customHeight="1" spans="1:12">
      <c r="A253" s="10">
        <v>250</v>
      </c>
      <c r="B253" s="10" t="str">
        <f>"倪元彩"</f>
        <v>倪元彩</v>
      </c>
      <c r="C253" s="10" t="str">
        <f>"女        "</f>
        <v>女        </v>
      </c>
      <c r="D253" s="10" t="str">
        <f t="shared" si="33"/>
        <v>汉族</v>
      </c>
      <c r="E253" s="10" t="str">
        <f>"广西百色市隆林县隆或乡道达村九屯"</f>
        <v>广西百色市隆林县隆或乡道达村九屯</v>
      </c>
      <c r="F253" s="10" t="str">
        <f t="shared" si="31"/>
        <v>小学</v>
      </c>
      <c r="G253" s="10" t="str">
        <f t="shared" si="32"/>
        <v>103:数学</v>
      </c>
      <c r="H253" s="10" t="s">
        <v>24</v>
      </c>
      <c r="I253" s="25" t="s">
        <v>38</v>
      </c>
      <c r="J253" s="26">
        <v>72.54</v>
      </c>
      <c r="K253" s="24">
        <v>11</v>
      </c>
      <c r="L253" s="16"/>
    </row>
    <row r="254" s="4" customFormat="1" ht="33" customHeight="1" spans="1:12">
      <c r="A254" s="10">
        <v>251</v>
      </c>
      <c r="B254" s="10" t="str">
        <f>"王孝澜"</f>
        <v>王孝澜</v>
      </c>
      <c r="C254" s="10" t="str">
        <f>"女        "</f>
        <v>女        </v>
      </c>
      <c r="D254" s="10" t="str">
        <f t="shared" si="33"/>
        <v>汉族</v>
      </c>
      <c r="E254" s="10" t="str">
        <f>"贵州省兴仁县大山镇高寨村潘家山组"</f>
        <v>贵州省兴仁县大山镇高寨村潘家山组</v>
      </c>
      <c r="F254" s="10" t="str">
        <f t="shared" si="31"/>
        <v>小学</v>
      </c>
      <c r="G254" s="10" t="str">
        <f t="shared" si="32"/>
        <v>103:数学</v>
      </c>
      <c r="H254" s="10" t="s">
        <v>24</v>
      </c>
      <c r="I254" s="25" t="s">
        <v>38</v>
      </c>
      <c r="J254" s="26">
        <v>70.7</v>
      </c>
      <c r="K254" s="24">
        <v>12</v>
      </c>
      <c r="L254" s="16"/>
    </row>
    <row r="255" s="4" customFormat="1" ht="33" customHeight="1" spans="1:12">
      <c r="A255" s="10">
        <v>252</v>
      </c>
      <c r="B255" s="10" t="str">
        <f>"龙明华"</f>
        <v>龙明华</v>
      </c>
      <c r="C255" s="10" t="str">
        <f>"男        "</f>
        <v>男        </v>
      </c>
      <c r="D255" s="10" t="str">
        <f>"苗族"</f>
        <v>苗族</v>
      </c>
      <c r="E255" s="10" t="str">
        <f>"广西百色市隆林县蛇场乡马场村大坝屯"</f>
        <v>广西百色市隆林县蛇场乡马场村大坝屯</v>
      </c>
      <c r="F255" s="10" t="str">
        <f t="shared" si="31"/>
        <v>小学</v>
      </c>
      <c r="G255" s="10" t="str">
        <f t="shared" si="32"/>
        <v>103:数学</v>
      </c>
      <c r="H255" s="10" t="s">
        <v>24</v>
      </c>
      <c r="I255" s="25" t="s">
        <v>38</v>
      </c>
      <c r="J255" s="26">
        <v>69.24</v>
      </c>
      <c r="K255" s="24">
        <v>13</v>
      </c>
      <c r="L255" s="16"/>
    </row>
    <row r="256" s="4" customFormat="1" ht="33" customHeight="1" spans="1:12">
      <c r="A256" s="10">
        <v>253</v>
      </c>
      <c r="B256" s="10" t="str">
        <f>"刘德权"</f>
        <v>刘德权</v>
      </c>
      <c r="C256" s="10" t="str">
        <f>"男        "</f>
        <v>男        </v>
      </c>
      <c r="D256" s="10" t="str">
        <f>"汉族"</f>
        <v>汉族</v>
      </c>
      <c r="E256" s="10" t="str">
        <f>"广西百色市隆林各族自治县隆或乡双多村刘家屯"</f>
        <v>广西百色市隆林各族自治县隆或乡双多村刘家屯</v>
      </c>
      <c r="F256" s="10" t="str">
        <f t="shared" si="31"/>
        <v>小学</v>
      </c>
      <c r="G256" s="10" t="str">
        <f t="shared" si="32"/>
        <v>103:数学</v>
      </c>
      <c r="H256" s="10" t="s">
        <v>24</v>
      </c>
      <c r="I256" s="25" t="s">
        <v>38</v>
      </c>
      <c r="J256" s="27" t="s">
        <v>18</v>
      </c>
      <c r="K256" s="24">
        <v>14</v>
      </c>
      <c r="L256" s="16"/>
    </row>
    <row r="257" s="4" customFormat="1" ht="33" customHeight="1" spans="1:12">
      <c r="A257" s="10">
        <v>254</v>
      </c>
      <c r="B257" s="10" t="str">
        <f>"张宗旨"</f>
        <v>张宗旨</v>
      </c>
      <c r="C257" s="10" t="str">
        <f>"女        "</f>
        <v>女        </v>
      </c>
      <c r="D257" s="10" t="str">
        <f>"汉族"</f>
        <v>汉族</v>
      </c>
      <c r="E257" s="10" t="str">
        <f>"贵州省望谟县乐旺镇麻湾村二组45号"</f>
        <v>贵州省望谟县乐旺镇麻湾村二组45号</v>
      </c>
      <c r="F257" s="10" t="str">
        <f t="shared" si="31"/>
        <v>小学</v>
      </c>
      <c r="G257" s="10" t="str">
        <f t="shared" si="32"/>
        <v>103:数学</v>
      </c>
      <c r="H257" s="10" t="s">
        <v>39</v>
      </c>
      <c r="I257" s="25" t="s">
        <v>38</v>
      </c>
      <c r="J257" s="26">
        <v>88.8</v>
      </c>
      <c r="K257" s="22">
        <v>1</v>
      </c>
      <c r="L257" s="16" t="s">
        <v>15</v>
      </c>
    </row>
    <row r="258" s="4" customFormat="1" ht="33" customHeight="1" spans="1:12">
      <c r="A258" s="10">
        <v>255</v>
      </c>
      <c r="B258" s="10" t="str">
        <f>"张红磊"</f>
        <v>张红磊</v>
      </c>
      <c r="C258" s="10" t="str">
        <f>"男        "</f>
        <v>男        </v>
      </c>
      <c r="D258" s="10" t="str">
        <f>"汉族"</f>
        <v>汉族</v>
      </c>
      <c r="E258" s="10" t="str">
        <f>"云南省曲靖市马龙区纳章镇石龙村4号"</f>
        <v>云南省曲靖市马龙区纳章镇石龙村4号</v>
      </c>
      <c r="F258" s="10" t="str">
        <f t="shared" si="31"/>
        <v>小学</v>
      </c>
      <c r="G258" s="10" t="str">
        <f t="shared" si="32"/>
        <v>103:数学</v>
      </c>
      <c r="H258" s="10" t="s">
        <v>39</v>
      </c>
      <c r="I258" s="25" t="s">
        <v>38</v>
      </c>
      <c r="J258" s="26">
        <v>88.3</v>
      </c>
      <c r="K258" s="22">
        <v>2</v>
      </c>
      <c r="L258" s="16" t="s">
        <v>15</v>
      </c>
    </row>
    <row r="259" s="4" customFormat="1" ht="33" customHeight="1" spans="1:12">
      <c r="A259" s="10">
        <v>256</v>
      </c>
      <c r="B259" s="10" t="str">
        <f>"罗凤秒"</f>
        <v>罗凤秒</v>
      </c>
      <c r="C259" s="10" t="str">
        <f>"女        "</f>
        <v>女        </v>
      </c>
      <c r="D259" s="10" t="str">
        <f>"壮族"</f>
        <v>壮族</v>
      </c>
      <c r="E259" s="10" t="str">
        <f>"广西壮族自治区隆林县者保乡那平村那平屯"</f>
        <v>广西壮族自治区隆林县者保乡那平村那平屯</v>
      </c>
      <c r="F259" s="10" t="str">
        <f t="shared" si="31"/>
        <v>小学</v>
      </c>
      <c r="G259" s="10" t="str">
        <f t="shared" si="32"/>
        <v>103:数学</v>
      </c>
      <c r="H259" s="10" t="s">
        <v>39</v>
      </c>
      <c r="I259" s="25" t="s">
        <v>38</v>
      </c>
      <c r="J259" s="26">
        <v>87.04</v>
      </c>
      <c r="K259" s="24">
        <v>3</v>
      </c>
      <c r="L259" s="16"/>
    </row>
    <row r="260" s="4" customFormat="1" ht="33" customHeight="1" spans="1:12">
      <c r="A260" s="10">
        <v>257</v>
      </c>
      <c r="B260" s="10" t="str">
        <f>"林瑞坤"</f>
        <v>林瑞坤</v>
      </c>
      <c r="C260" s="10" t="str">
        <f>"男        "</f>
        <v>男        </v>
      </c>
      <c r="D260" s="10" t="str">
        <f>"汉族"</f>
        <v>汉族</v>
      </c>
      <c r="E260" s="10" t="str">
        <f>"云南省广南县八宝镇百乐村"</f>
        <v>云南省广南县八宝镇百乐村</v>
      </c>
      <c r="F260" s="10" t="str">
        <f t="shared" si="31"/>
        <v>小学</v>
      </c>
      <c r="G260" s="10" t="str">
        <f t="shared" si="32"/>
        <v>103:数学</v>
      </c>
      <c r="H260" s="10" t="s">
        <v>39</v>
      </c>
      <c r="I260" s="25" t="s">
        <v>38</v>
      </c>
      <c r="J260" s="26">
        <v>84.2</v>
      </c>
      <c r="K260" s="24">
        <v>4</v>
      </c>
      <c r="L260" s="16"/>
    </row>
    <row r="261" s="4" customFormat="1" ht="33" customHeight="1" spans="1:12">
      <c r="A261" s="10">
        <v>258</v>
      </c>
      <c r="B261" s="10" t="str">
        <f>"杨春艳"</f>
        <v>杨春艳</v>
      </c>
      <c r="C261" s="10" t="str">
        <f>"女        "</f>
        <v>女        </v>
      </c>
      <c r="D261" s="10" t="str">
        <f>"汉族"</f>
        <v>汉族</v>
      </c>
      <c r="E261" s="10" t="str">
        <f>"云南省文山州砚山县维摩乡维摩村民委以堵组59号"</f>
        <v>云南省文山州砚山县维摩乡维摩村民委以堵组59号</v>
      </c>
      <c r="F261" s="10" t="str">
        <f t="shared" si="31"/>
        <v>小学</v>
      </c>
      <c r="G261" s="10" t="str">
        <f t="shared" si="32"/>
        <v>103:数学</v>
      </c>
      <c r="H261" s="10" t="s">
        <v>39</v>
      </c>
      <c r="I261" s="25" t="s">
        <v>38</v>
      </c>
      <c r="J261" s="26">
        <v>79.6</v>
      </c>
      <c r="K261" s="24">
        <v>5</v>
      </c>
      <c r="L261" s="16"/>
    </row>
    <row r="262" s="4" customFormat="1" ht="33" customHeight="1" spans="1:12">
      <c r="A262" s="10">
        <v>259</v>
      </c>
      <c r="B262" s="10" t="str">
        <f>"王姣姣"</f>
        <v>王姣姣</v>
      </c>
      <c r="C262" s="10" t="str">
        <f>"女        "</f>
        <v>女        </v>
      </c>
      <c r="D262" s="10" t="str">
        <f>"汉族"</f>
        <v>汉族</v>
      </c>
      <c r="E262" s="10" t="str">
        <f>"云南省曲靖市麒麟区茨营乡团结村委会王家营村"</f>
        <v>云南省曲靖市麒麟区茨营乡团结村委会王家营村</v>
      </c>
      <c r="F262" s="10" t="str">
        <f t="shared" si="31"/>
        <v>小学</v>
      </c>
      <c r="G262" s="10" t="str">
        <f t="shared" si="32"/>
        <v>103:数学</v>
      </c>
      <c r="H262" s="10" t="s">
        <v>39</v>
      </c>
      <c r="I262" s="25" t="s">
        <v>38</v>
      </c>
      <c r="J262" s="26">
        <v>79.3</v>
      </c>
      <c r="K262" s="24">
        <v>6</v>
      </c>
      <c r="L262" s="16"/>
    </row>
    <row r="263" s="4" customFormat="1" ht="33" customHeight="1" spans="1:12">
      <c r="A263" s="10">
        <v>260</v>
      </c>
      <c r="B263" s="10" t="str">
        <f>"李艳"</f>
        <v>李艳</v>
      </c>
      <c r="C263" s="10" t="str">
        <f>"女        "</f>
        <v>女        </v>
      </c>
      <c r="D263" s="10" t="str">
        <f>"壮族"</f>
        <v>壮族</v>
      </c>
      <c r="E263" s="10" t="str">
        <f>"广西省百色市隆林县天生桥镇马窝村科丰屯十四社003号"</f>
        <v>广西省百色市隆林县天生桥镇马窝村科丰屯十四社003号</v>
      </c>
      <c r="F263" s="10" t="str">
        <f t="shared" si="31"/>
        <v>小学</v>
      </c>
      <c r="G263" s="10" t="str">
        <f t="shared" si="32"/>
        <v>103:数学</v>
      </c>
      <c r="H263" s="10" t="s">
        <v>39</v>
      </c>
      <c r="I263" s="25" t="s">
        <v>38</v>
      </c>
      <c r="J263" s="26">
        <v>78.68</v>
      </c>
      <c r="K263" s="24">
        <v>7</v>
      </c>
      <c r="L263" s="16"/>
    </row>
    <row r="264" s="4" customFormat="1" ht="33" customHeight="1" spans="1:12">
      <c r="A264" s="10">
        <v>261</v>
      </c>
      <c r="B264" s="10" t="str">
        <f>"刘自席"</f>
        <v>刘自席</v>
      </c>
      <c r="C264" s="10" t="str">
        <f>"男        "</f>
        <v>男        </v>
      </c>
      <c r="D264" s="10" t="str">
        <f>"汉族"</f>
        <v>汉族</v>
      </c>
      <c r="E264" s="10" t="str">
        <f>"贵州省望谟县麻山乡"</f>
        <v>贵州省望谟县麻山乡</v>
      </c>
      <c r="F264" s="10" t="str">
        <f t="shared" si="31"/>
        <v>小学</v>
      </c>
      <c r="G264" s="10" t="str">
        <f t="shared" si="32"/>
        <v>103:数学</v>
      </c>
      <c r="H264" s="10" t="s">
        <v>39</v>
      </c>
      <c r="I264" s="25" t="s">
        <v>38</v>
      </c>
      <c r="J264" s="26">
        <v>77.5</v>
      </c>
      <c r="K264" s="24">
        <v>8</v>
      </c>
      <c r="L264" s="16"/>
    </row>
    <row r="265" s="4" customFormat="1" ht="33" customHeight="1" spans="1:12">
      <c r="A265" s="10">
        <v>262</v>
      </c>
      <c r="B265" s="10" t="str">
        <f>"陆鹏程"</f>
        <v>陆鹏程</v>
      </c>
      <c r="C265" s="10" t="str">
        <f>"男        "</f>
        <v>男        </v>
      </c>
      <c r="D265" s="10" t="str">
        <f>"汉族"</f>
        <v>汉族</v>
      </c>
      <c r="E265" s="10" t="str">
        <f>"云南省曲靖市罗平县九龙镇舍恰村委会大鲁纳"</f>
        <v>云南省曲靖市罗平县九龙镇舍恰村委会大鲁纳</v>
      </c>
      <c r="F265" s="10" t="str">
        <f t="shared" si="31"/>
        <v>小学</v>
      </c>
      <c r="G265" s="10" t="str">
        <f t="shared" si="32"/>
        <v>103:数学</v>
      </c>
      <c r="H265" s="10" t="s">
        <v>39</v>
      </c>
      <c r="I265" s="25" t="s">
        <v>38</v>
      </c>
      <c r="J265" s="26">
        <v>73.16</v>
      </c>
      <c r="K265" s="24">
        <v>9</v>
      </c>
      <c r="L265" s="16"/>
    </row>
    <row r="266" s="4" customFormat="1" ht="33" customHeight="1" spans="1:12">
      <c r="A266" s="10">
        <v>263</v>
      </c>
      <c r="B266" s="10" t="str">
        <f>"韦祎"</f>
        <v>韦祎</v>
      </c>
      <c r="C266" s="10" t="str">
        <f>"女        "</f>
        <v>女        </v>
      </c>
      <c r="D266" s="10" t="str">
        <f>"布依族"</f>
        <v>布依族</v>
      </c>
      <c r="E266" s="10" t="str">
        <f>"贵州省望谟县桑郎镇七组"</f>
        <v>贵州省望谟县桑郎镇七组</v>
      </c>
      <c r="F266" s="10" t="str">
        <f t="shared" si="31"/>
        <v>小学</v>
      </c>
      <c r="G266" s="10" t="str">
        <f t="shared" si="32"/>
        <v>103:数学</v>
      </c>
      <c r="H266" s="10" t="s">
        <v>39</v>
      </c>
      <c r="I266" s="25" t="s">
        <v>38</v>
      </c>
      <c r="J266" s="26">
        <v>69.84</v>
      </c>
      <c r="K266" s="24">
        <v>10</v>
      </c>
      <c r="L266" s="16"/>
    </row>
    <row r="267" s="4" customFormat="1" ht="33" customHeight="1" spans="1:12">
      <c r="A267" s="10">
        <v>264</v>
      </c>
      <c r="B267" s="10" t="str">
        <f>"郝正颖"</f>
        <v>郝正颖</v>
      </c>
      <c r="C267" s="10" t="str">
        <f>"男        "</f>
        <v>男        </v>
      </c>
      <c r="D267" s="10" t="str">
        <f>"汉族"</f>
        <v>汉族</v>
      </c>
      <c r="E267" s="10" t="str">
        <f>"贵州省兴仁县雨樟镇格沙屯村"</f>
        <v>贵州省兴仁县雨樟镇格沙屯村</v>
      </c>
      <c r="F267" s="10" t="str">
        <f t="shared" si="31"/>
        <v>小学</v>
      </c>
      <c r="G267" s="10" t="str">
        <f t="shared" si="32"/>
        <v>103:数学</v>
      </c>
      <c r="H267" s="10" t="s">
        <v>39</v>
      </c>
      <c r="I267" s="25" t="s">
        <v>38</v>
      </c>
      <c r="J267" s="27" t="s">
        <v>18</v>
      </c>
      <c r="K267" s="24">
        <v>11</v>
      </c>
      <c r="L267" s="16"/>
    </row>
    <row r="268" s="4" customFormat="1" ht="33" customHeight="1" spans="1:12">
      <c r="A268" s="10">
        <v>265</v>
      </c>
      <c r="B268" s="10" t="str">
        <f>"郭恩"</f>
        <v>郭恩</v>
      </c>
      <c r="C268" s="10" t="str">
        <f>"男        "</f>
        <v>男        </v>
      </c>
      <c r="D268" s="10" t="str">
        <f>"汉族"</f>
        <v>汉族</v>
      </c>
      <c r="E268" s="10" t="str">
        <f>"广西百色隆林县隆或镇隆或村五队028号"</f>
        <v>广西百色隆林县隆或镇隆或村五队028号</v>
      </c>
      <c r="F268" s="10" t="str">
        <f t="shared" si="31"/>
        <v>小学</v>
      </c>
      <c r="G268" s="10" t="str">
        <f t="shared" si="32"/>
        <v>103:数学</v>
      </c>
      <c r="H268" s="10" t="s">
        <v>21</v>
      </c>
      <c r="I268" s="25" t="s">
        <v>40</v>
      </c>
      <c r="J268" s="26">
        <v>86.58</v>
      </c>
      <c r="K268" s="22">
        <v>1</v>
      </c>
      <c r="L268" s="16" t="s">
        <v>15</v>
      </c>
    </row>
    <row r="269" s="4" customFormat="1" ht="33" customHeight="1" spans="1:12">
      <c r="A269" s="10">
        <v>266</v>
      </c>
      <c r="B269" s="10" t="str">
        <f>"简才路"</f>
        <v>简才路</v>
      </c>
      <c r="C269" s="10" t="str">
        <f>"男        "</f>
        <v>男        </v>
      </c>
      <c r="D269" s="10" t="str">
        <f>"汉族"</f>
        <v>汉族</v>
      </c>
      <c r="E269" s="10" t="str">
        <f>"贵州省望谟县新屯镇金山村里堰上组44号"</f>
        <v>贵州省望谟县新屯镇金山村里堰上组44号</v>
      </c>
      <c r="F269" s="10" t="str">
        <f t="shared" si="31"/>
        <v>小学</v>
      </c>
      <c r="G269" s="10" t="str">
        <f t="shared" si="32"/>
        <v>103:数学</v>
      </c>
      <c r="H269" s="10" t="s">
        <v>21</v>
      </c>
      <c r="I269" s="25" t="s">
        <v>40</v>
      </c>
      <c r="J269" s="26">
        <v>86.06</v>
      </c>
      <c r="K269" s="22">
        <v>2</v>
      </c>
      <c r="L269" s="16" t="s">
        <v>15</v>
      </c>
    </row>
    <row r="270" s="4" customFormat="1" ht="33" customHeight="1" spans="1:12">
      <c r="A270" s="10">
        <v>267</v>
      </c>
      <c r="B270" s="10" t="str">
        <f>"王永光"</f>
        <v>王永光</v>
      </c>
      <c r="C270" s="10" t="str">
        <f>"男        "</f>
        <v>男        </v>
      </c>
      <c r="D270" s="10" t="str">
        <f>"壮族"</f>
        <v>壮族</v>
      </c>
      <c r="E270" s="10" t="str">
        <f>"云南省文山壮族苗族自治州广南县坝美镇同应村民委者龙"</f>
        <v>云南省文山壮族苗族自治州广南县坝美镇同应村民委者龙</v>
      </c>
      <c r="F270" s="10" t="str">
        <f t="shared" si="31"/>
        <v>小学</v>
      </c>
      <c r="G270" s="10" t="str">
        <f t="shared" si="32"/>
        <v>103:数学</v>
      </c>
      <c r="H270" s="10" t="s">
        <v>21</v>
      </c>
      <c r="I270" s="25" t="s">
        <v>40</v>
      </c>
      <c r="J270" s="26">
        <v>84.8</v>
      </c>
      <c r="K270" s="24">
        <v>3</v>
      </c>
      <c r="L270" s="16"/>
    </row>
    <row r="271" s="4" customFormat="1" ht="33" customHeight="1" spans="1:12">
      <c r="A271" s="10">
        <v>268</v>
      </c>
      <c r="B271" s="10" t="str">
        <f>"韦淑慧"</f>
        <v>韦淑慧</v>
      </c>
      <c r="C271" s="10" t="str">
        <f>"女        "</f>
        <v>女        </v>
      </c>
      <c r="D271" s="10" t="str">
        <f>"壮族"</f>
        <v>壮族</v>
      </c>
      <c r="E271" s="10" t="str">
        <f>"广西百色市西林县"</f>
        <v>广西百色市西林县</v>
      </c>
      <c r="F271" s="10" t="str">
        <f t="shared" si="31"/>
        <v>小学</v>
      </c>
      <c r="G271" s="10" t="str">
        <f t="shared" si="32"/>
        <v>103:数学</v>
      </c>
      <c r="H271" s="10" t="s">
        <v>21</v>
      </c>
      <c r="I271" s="25" t="s">
        <v>40</v>
      </c>
      <c r="J271" s="26">
        <v>84.08</v>
      </c>
      <c r="K271" s="24">
        <v>4</v>
      </c>
      <c r="L271" s="16"/>
    </row>
    <row r="272" s="4" customFormat="1" ht="33" customHeight="1" spans="1:12">
      <c r="A272" s="10">
        <v>269</v>
      </c>
      <c r="B272" s="10" t="str">
        <f>"王勤"</f>
        <v>王勤</v>
      </c>
      <c r="C272" s="10" t="str">
        <f>"女        "</f>
        <v>女        </v>
      </c>
      <c r="D272" s="10" t="str">
        <f>"汉族"</f>
        <v>汉族</v>
      </c>
      <c r="E272" s="10" t="str">
        <f>"广西省百色市隆林县隆或正沙保村大毛草坝屯"</f>
        <v>广西省百色市隆林县隆或正沙保村大毛草坝屯</v>
      </c>
      <c r="F272" s="10" t="str">
        <f t="shared" si="31"/>
        <v>小学</v>
      </c>
      <c r="G272" s="10" t="str">
        <f t="shared" si="32"/>
        <v>103:数学</v>
      </c>
      <c r="H272" s="10" t="s">
        <v>21</v>
      </c>
      <c r="I272" s="25" t="s">
        <v>40</v>
      </c>
      <c r="J272" s="26">
        <v>82.78</v>
      </c>
      <c r="K272" s="24">
        <v>5</v>
      </c>
      <c r="L272" s="16"/>
    </row>
    <row r="273" s="4" customFormat="1" ht="33" customHeight="1" spans="1:12">
      <c r="A273" s="10">
        <v>270</v>
      </c>
      <c r="B273" s="10" t="str">
        <f>"李绍虎"</f>
        <v>李绍虎</v>
      </c>
      <c r="C273" s="10" t="str">
        <f>"男        "</f>
        <v>男        </v>
      </c>
      <c r="D273" s="10" t="str">
        <f>"汉族"</f>
        <v>汉族</v>
      </c>
      <c r="E273" s="10" t="str">
        <f>"云南省宣威市来宾镇来宾村委会向阳村133号"</f>
        <v>云南省宣威市来宾镇来宾村委会向阳村133号</v>
      </c>
      <c r="F273" s="10" t="str">
        <f t="shared" si="31"/>
        <v>小学</v>
      </c>
      <c r="G273" s="10" t="str">
        <f t="shared" si="32"/>
        <v>103:数学</v>
      </c>
      <c r="H273" s="10" t="s">
        <v>21</v>
      </c>
      <c r="I273" s="25" t="s">
        <v>40</v>
      </c>
      <c r="J273" s="26">
        <v>80.88</v>
      </c>
      <c r="K273" s="24">
        <v>6</v>
      </c>
      <c r="L273" s="16"/>
    </row>
    <row r="274" s="4" customFormat="1" ht="33" customHeight="1" spans="1:12">
      <c r="A274" s="10">
        <v>271</v>
      </c>
      <c r="B274" s="10" t="str">
        <f>"王丽芳"</f>
        <v>王丽芳</v>
      </c>
      <c r="C274" s="10" t="str">
        <f>"女        "</f>
        <v>女        </v>
      </c>
      <c r="D274" s="10" t="str">
        <f>"壮族"</f>
        <v>壮族</v>
      </c>
      <c r="E274" s="10" t="str">
        <f>"广西隆林各族自治县平班镇委乐村平坝屯17号"</f>
        <v>广西隆林各族自治县平班镇委乐村平坝屯17号</v>
      </c>
      <c r="F274" s="10" t="str">
        <f t="shared" si="31"/>
        <v>小学</v>
      </c>
      <c r="G274" s="10" t="str">
        <f t="shared" si="32"/>
        <v>103:数学</v>
      </c>
      <c r="H274" s="10" t="s">
        <v>21</v>
      </c>
      <c r="I274" s="25" t="s">
        <v>40</v>
      </c>
      <c r="J274" s="26">
        <v>77.64</v>
      </c>
      <c r="K274" s="24">
        <v>7</v>
      </c>
      <c r="L274" s="16"/>
    </row>
    <row r="275" s="4" customFormat="1" ht="33" customHeight="1" spans="1:12">
      <c r="A275" s="10">
        <v>272</v>
      </c>
      <c r="B275" s="10" t="str">
        <f>"李美园"</f>
        <v>李美园</v>
      </c>
      <c r="C275" s="10" t="str">
        <f>"女        "</f>
        <v>女        </v>
      </c>
      <c r="D275" s="10" t="str">
        <f t="shared" ref="D275:D280" si="34">"汉族"</f>
        <v>汉族</v>
      </c>
      <c r="E275" s="10" t="str">
        <f>"广西百色市隆林各族自治县隆或镇滴岩村潘家湾屯037号"</f>
        <v>广西百色市隆林各族自治县隆或镇滴岩村潘家湾屯037号</v>
      </c>
      <c r="F275" s="10" t="str">
        <f t="shared" ref="F275:F306" si="35">"小学"</f>
        <v>小学</v>
      </c>
      <c r="G275" s="10" t="str">
        <f t="shared" ref="G275:G306" si="36">"103:数学"</f>
        <v>103:数学</v>
      </c>
      <c r="H275" s="10" t="s">
        <v>21</v>
      </c>
      <c r="I275" s="25" t="s">
        <v>40</v>
      </c>
      <c r="J275" s="26">
        <v>14.2</v>
      </c>
      <c r="K275" s="24">
        <v>8</v>
      </c>
      <c r="L275" s="16"/>
    </row>
    <row r="276" s="4" customFormat="1" ht="33" customHeight="1" spans="1:12">
      <c r="A276" s="10">
        <v>273</v>
      </c>
      <c r="B276" s="10" t="str">
        <f>"胡坤伦"</f>
        <v>胡坤伦</v>
      </c>
      <c r="C276" s="10" t="str">
        <f>"男        "</f>
        <v>男        </v>
      </c>
      <c r="D276" s="10" t="str">
        <f t="shared" si="34"/>
        <v>汉族</v>
      </c>
      <c r="E276" s="10" t="str">
        <f>"广西百色市隆林各族自治县岩茶乡龙台村各老寨屯"</f>
        <v>广西百色市隆林各族自治县岩茶乡龙台村各老寨屯</v>
      </c>
      <c r="F276" s="10" t="str">
        <f t="shared" si="35"/>
        <v>小学</v>
      </c>
      <c r="G276" s="10" t="str">
        <f t="shared" si="36"/>
        <v>103:数学</v>
      </c>
      <c r="H276" s="10" t="s">
        <v>21</v>
      </c>
      <c r="I276" s="25" t="s">
        <v>40</v>
      </c>
      <c r="J276" s="27" t="s">
        <v>18</v>
      </c>
      <c r="K276" s="24">
        <v>9</v>
      </c>
      <c r="L276" s="16"/>
    </row>
    <row r="277" s="4" customFormat="1" ht="33" customHeight="1" spans="1:12">
      <c r="A277" s="10">
        <v>274</v>
      </c>
      <c r="B277" s="10" t="str">
        <f>"李春燕"</f>
        <v>李春燕</v>
      </c>
      <c r="C277" s="10" t="str">
        <f>"女        "</f>
        <v>女        </v>
      </c>
      <c r="D277" s="10" t="str">
        <f t="shared" si="34"/>
        <v>汉族</v>
      </c>
      <c r="E277" s="10" t="str">
        <f>"贵州省威宁县小海镇卯家村新山组"</f>
        <v>贵州省威宁县小海镇卯家村新山组</v>
      </c>
      <c r="F277" s="10" t="str">
        <f t="shared" si="35"/>
        <v>小学</v>
      </c>
      <c r="G277" s="10" t="str">
        <f t="shared" si="36"/>
        <v>103:数学</v>
      </c>
      <c r="H277" s="10" t="s">
        <v>21</v>
      </c>
      <c r="I277" s="25" t="s">
        <v>40</v>
      </c>
      <c r="J277" s="27" t="s">
        <v>18</v>
      </c>
      <c r="K277" s="24">
        <v>10</v>
      </c>
      <c r="L277" s="16"/>
    </row>
    <row r="278" s="4" customFormat="1" ht="33" customHeight="1" spans="1:12">
      <c r="A278" s="10">
        <v>275</v>
      </c>
      <c r="B278" s="10" t="str">
        <f>"龙玉连"</f>
        <v>龙玉连</v>
      </c>
      <c r="C278" s="10" t="str">
        <f>"女        "</f>
        <v>女        </v>
      </c>
      <c r="D278" s="10" t="str">
        <f t="shared" si="34"/>
        <v>汉族</v>
      </c>
      <c r="E278" s="10" t="str">
        <f>"广西百色市隆林县隆或乡双多村"</f>
        <v>广西百色市隆林县隆或乡双多村</v>
      </c>
      <c r="F278" s="10" t="str">
        <f t="shared" si="35"/>
        <v>小学</v>
      </c>
      <c r="G278" s="10" t="str">
        <f t="shared" si="36"/>
        <v>103:数学</v>
      </c>
      <c r="H278" s="10" t="s">
        <v>41</v>
      </c>
      <c r="I278" s="25" t="s">
        <v>40</v>
      </c>
      <c r="J278" s="26">
        <v>86.1</v>
      </c>
      <c r="K278" s="22">
        <v>1</v>
      </c>
      <c r="L278" s="16" t="s">
        <v>15</v>
      </c>
    </row>
    <row r="279" s="4" customFormat="1" ht="33" customHeight="1" spans="1:12">
      <c r="A279" s="10">
        <v>276</v>
      </c>
      <c r="B279" s="10" t="str">
        <f>"李浩"</f>
        <v>李浩</v>
      </c>
      <c r="C279" s="10" t="str">
        <f>"男        "</f>
        <v>男        </v>
      </c>
      <c r="D279" s="10" t="str">
        <f t="shared" si="34"/>
        <v>汉族</v>
      </c>
      <c r="E279" s="10" t="str">
        <f>"云南省曲靖市富源县十八连山镇"</f>
        <v>云南省曲靖市富源县十八连山镇</v>
      </c>
      <c r="F279" s="10" t="str">
        <f t="shared" si="35"/>
        <v>小学</v>
      </c>
      <c r="G279" s="10" t="str">
        <f t="shared" si="36"/>
        <v>103:数学</v>
      </c>
      <c r="H279" s="10" t="s">
        <v>41</v>
      </c>
      <c r="I279" s="25" t="s">
        <v>40</v>
      </c>
      <c r="J279" s="26">
        <v>85.88</v>
      </c>
      <c r="K279" s="22">
        <v>2</v>
      </c>
      <c r="L279" s="16" t="s">
        <v>15</v>
      </c>
    </row>
    <row r="280" s="4" customFormat="1" ht="33" customHeight="1" spans="1:12">
      <c r="A280" s="10">
        <v>277</v>
      </c>
      <c r="B280" s="10" t="str">
        <f>"吴玉玲"</f>
        <v>吴玉玲</v>
      </c>
      <c r="C280" s="10" t="str">
        <f>"女        "</f>
        <v>女        </v>
      </c>
      <c r="D280" s="10" t="str">
        <f t="shared" si="34"/>
        <v>汉族</v>
      </c>
      <c r="E280" s="10" t="str">
        <f>"贵州省毕节市七星关区碧海街道办事处"</f>
        <v>贵州省毕节市七星关区碧海街道办事处</v>
      </c>
      <c r="F280" s="10" t="str">
        <f t="shared" si="35"/>
        <v>小学</v>
      </c>
      <c r="G280" s="10" t="str">
        <f t="shared" si="36"/>
        <v>103:数学</v>
      </c>
      <c r="H280" s="10" t="s">
        <v>41</v>
      </c>
      <c r="I280" s="25" t="s">
        <v>40</v>
      </c>
      <c r="J280" s="26">
        <v>85.6</v>
      </c>
      <c r="K280" s="24">
        <v>3</v>
      </c>
      <c r="L280" s="16"/>
    </row>
    <row r="281" s="4" customFormat="1" ht="33" customHeight="1" spans="1:12">
      <c r="A281" s="10">
        <v>278</v>
      </c>
      <c r="B281" s="10" t="str">
        <f>"农艳红"</f>
        <v>农艳红</v>
      </c>
      <c r="C281" s="10" t="str">
        <f>"女        "</f>
        <v>女        </v>
      </c>
      <c r="D281" s="10" t="str">
        <f>"壮族"</f>
        <v>壮族</v>
      </c>
      <c r="E281" s="10" t="str">
        <f>"隆林各族自治县平班镇扁牙村二上队28号"</f>
        <v>隆林各族自治县平班镇扁牙村二上队28号</v>
      </c>
      <c r="F281" s="10" t="str">
        <f t="shared" si="35"/>
        <v>小学</v>
      </c>
      <c r="G281" s="10" t="str">
        <f t="shared" si="36"/>
        <v>103:数学</v>
      </c>
      <c r="H281" s="10" t="s">
        <v>41</v>
      </c>
      <c r="I281" s="25" t="s">
        <v>40</v>
      </c>
      <c r="J281" s="26">
        <v>85.2</v>
      </c>
      <c r="K281" s="24">
        <v>4</v>
      </c>
      <c r="L281" s="16"/>
    </row>
    <row r="282" s="4" customFormat="1" ht="33" customHeight="1" spans="1:12">
      <c r="A282" s="10">
        <v>279</v>
      </c>
      <c r="B282" s="10" t="str">
        <f>"黄栋"</f>
        <v>黄栋</v>
      </c>
      <c r="C282" s="10" t="str">
        <f>"男        "</f>
        <v>男        </v>
      </c>
      <c r="D282" s="10" t="str">
        <f>"壮族"</f>
        <v>壮族</v>
      </c>
      <c r="E282" s="10" t="str">
        <f>"广西省百色市隆林县龙山街43号"</f>
        <v>广西省百色市隆林县龙山街43号</v>
      </c>
      <c r="F282" s="10" t="str">
        <f t="shared" si="35"/>
        <v>小学</v>
      </c>
      <c r="G282" s="10" t="str">
        <f t="shared" si="36"/>
        <v>103:数学</v>
      </c>
      <c r="H282" s="10" t="s">
        <v>41</v>
      </c>
      <c r="I282" s="25" t="s">
        <v>40</v>
      </c>
      <c r="J282" s="26">
        <v>85.12</v>
      </c>
      <c r="K282" s="24">
        <v>5</v>
      </c>
      <c r="L282" s="16"/>
    </row>
    <row r="283" s="4" customFormat="1" ht="33" customHeight="1" spans="1:12">
      <c r="A283" s="10">
        <v>280</v>
      </c>
      <c r="B283" s="10" t="str">
        <f>"王周梅"</f>
        <v>王周梅</v>
      </c>
      <c r="C283" s="10" t="str">
        <f>"女        "</f>
        <v>女        </v>
      </c>
      <c r="D283" s="10" t="str">
        <f>"壮族"</f>
        <v>壮族</v>
      </c>
      <c r="E283" s="10" t="str">
        <f>"广西省隆林县沙梨乡沙梨村14社"</f>
        <v>广西省隆林县沙梨乡沙梨村14社</v>
      </c>
      <c r="F283" s="10" t="str">
        <f t="shared" si="35"/>
        <v>小学</v>
      </c>
      <c r="G283" s="10" t="str">
        <f t="shared" si="36"/>
        <v>103:数学</v>
      </c>
      <c r="H283" s="10" t="s">
        <v>41</v>
      </c>
      <c r="I283" s="25" t="s">
        <v>40</v>
      </c>
      <c r="J283" s="26">
        <v>84.5</v>
      </c>
      <c r="K283" s="24">
        <v>6</v>
      </c>
      <c r="L283" s="16"/>
    </row>
    <row r="284" s="4" customFormat="1" ht="33" customHeight="1" spans="1:12">
      <c r="A284" s="10">
        <v>281</v>
      </c>
      <c r="B284" s="10" t="str">
        <f>"黄铃舒"</f>
        <v>黄铃舒</v>
      </c>
      <c r="C284" s="10" t="str">
        <f>"女        "</f>
        <v>女        </v>
      </c>
      <c r="D284" s="10" t="str">
        <f>"壮族"</f>
        <v>壮族</v>
      </c>
      <c r="E284" s="10" t="str">
        <f>"西林县八达镇公安局"</f>
        <v>西林县八达镇公安局</v>
      </c>
      <c r="F284" s="10" t="str">
        <f t="shared" si="35"/>
        <v>小学</v>
      </c>
      <c r="G284" s="10" t="str">
        <f t="shared" si="36"/>
        <v>103:数学</v>
      </c>
      <c r="H284" s="10" t="s">
        <v>41</v>
      </c>
      <c r="I284" s="25" t="s">
        <v>40</v>
      </c>
      <c r="J284" s="26">
        <v>83.16</v>
      </c>
      <c r="K284" s="24">
        <v>7</v>
      </c>
      <c r="L284" s="16"/>
    </row>
    <row r="285" s="4" customFormat="1" ht="33" customHeight="1" spans="1:12">
      <c r="A285" s="10">
        <v>282</v>
      </c>
      <c r="B285" s="10" t="str">
        <f>"陈红毕"</f>
        <v>陈红毕</v>
      </c>
      <c r="C285" s="10" t="str">
        <f>"女        "</f>
        <v>女        </v>
      </c>
      <c r="D285" s="10" t="str">
        <f>"汉族"</f>
        <v>汉族</v>
      </c>
      <c r="E285" s="10" t="str">
        <f>"云南省曲靖市富源县黄泥河镇西门街819号"</f>
        <v>云南省曲靖市富源县黄泥河镇西门街819号</v>
      </c>
      <c r="F285" s="10" t="str">
        <f t="shared" si="35"/>
        <v>小学</v>
      </c>
      <c r="G285" s="10" t="str">
        <f t="shared" si="36"/>
        <v>103:数学</v>
      </c>
      <c r="H285" s="10" t="s">
        <v>41</v>
      </c>
      <c r="I285" s="25" t="s">
        <v>40</v>
      </c>
      <c r="J285" s="26">
        <v>81.22</v>
      </c>
      <c r="K285" s="24">
        <v>8</v>
      </c>
      <c r="L285" s="16"/>
    </row>
    <row r="286" s="4" customFormat="1" ht="33" customHeight="1" spans="1:12">
      <c r="A286" s="10">
        <v>283</v>
      </c>
      <c r="B286" s="10" t="str">
        <f>"谢远琴"</f>
        <v>谢远琴</v>
      </c>
      <c r="C286" s="10" t="str">
        <f>"女        "</f>
        <v>女        </v>
      </c>
      <c r="D286" s="10" t="str">
        <f>"汉族"</f>
        <v>汉族</v>
      </c>
      <c r="E286" s="10" t="str">
        <f>"贵州省安龙县栖凤街道办事处大坪村双沟组15号"</f>
        <v>贵州省安龙县栖凤街道办事处大坪村双沟组15号</v>
      </c>
      <c r="F286" s="10" t="str">
        <f t="shared" si="35"/>
        <v>小学</v>
      </c>
      <c r="G286" s="10" t="str">
        <f t="shared" si="36"/>
        <v>103:数学</v>
      </c>
      <c r="H286" s="10" t="s">
        <v>41</v>
      </c>
      <c r="I286" s="25" t="s">
        <v>40</v>
      </c>
      <c r="J286" s="26">
        <v>80.56</v>
      </c>
      <c r="K286" s="24">
        <v>9</v>
      </c>
      <c r="L286" s="16"/>
    </row>
    <row r="287" s="4" customFormat="1" ht="33" customHeight="1" spans="1:12">
      <c r="A287" s="10">
        <v>284</v>
      </c>
      <c r="B287" s="10" t="str">
        <f>"农家益"</f>
        <v>农家益</v>
      </c>
      <c r="C287" s="10" t="str">
        <f>"男        "</f>
        <v>男        </v>
      </c>
      <c r="D287" s="10" t="str">
        <f>"壮族"</f>
        <v>壮族</v>
      </c>
      <c r="E287" s="10" t="str">
        <f>"广西西林县八达镇红星村平用屯167号"</f>
        <v>广西西林县八达镇红星村平用屯167号</v>
      </c>
      <c r="F287" s="10" t="str">
        <f t="shared" si="35"/>
        <v>小学</v>
      </c>
      <c r="G287" s="10" t="str">
        <f t="shared" si="36"/>
        <v>103:数学</v>
      </c>
      <c r="H287" s="10" t="s">
        <v>41</v>
      </c>
      <c r="I287" s="25" t="s">
        <v>40</v>
      </c>
      <c r="J287" s="26">
        <v>80.56</v>
      </c>
      <c r="K287" s="24">
        <v>10</v>
      </c>
      <c r="L287" s="16"/>
    </row>
    <row r="288" s="4" customFormat="1" ht="33" customHeight="1" spans="1:12">
      <c r="A288" s="10">
        <v>285</v>
      </c>
      <c r="B288" s="10" t="str">
        <f>"陈正东"</f>
        <v>陈正东</v>
      </c>
      <c r="C288" s="10" t="str">
        <f>"男        "</f>
        <v>男        </v>
      </c>
      <c r="D288" s="10" t="str">
        <f>"壮族"</f>
        <v>壮族</v>
      </c>
      <c r="E288" s="10" t="str">
        <f>"广西隆林各族自治县猪场乡岩圩村那化社18号"</f>
        <v>广西隆林各族自治县猪场乡岩圩村那化社18号</v>
      </c>
      <c r="F288" s="10" t="str">
        <f t="shared" si="35"/>
        <v>小学</v>
      </c>
      <c r="G288" s="10" t="str">
        <f t="shared" si="36"/>
        <v>103:数学</v>
      </c>
      <c r="H288" s="10" t="s">
        <v>41</v>
      </c>
      <c r="I288" s="25" t="s">
        <v>40</v>
      </c>
      <c r="J288" s="26">
        <v>76.7</v>
      </c>
      <c r="K288" s="24">
        <v>11</v>
      </c>
      <c r="L288" s="16"/>
    </row>
    <row r="289" s="4" customFormat="1" ht="33" customHeight="1" spans="1:12">
      <c r="A289" s="10">
        <v>286</v>
      </c>
      <c r="B289" s="10" t="str">
        <f>"王志沙"</f>
        <v>王志沙</v>
      </c>
      <c r="C289" s="10" t="str">
        <f>"女        "</f>
        <v>女        </v>
      </c>
      <c r="D289" s="10" t="str">
        <f>"壮族"</f>
        <v>壮族</v>
      </c>
      <c r="E289" s="10" t="str">
        <f>"广西百色市西林县古障镇仙仁掌上俄屯"</f>
        <v>广西百色市西林县古障镇仙仁掌上俄屯</v>
      </c>
      <c r="F289" s="10" t="str">
        <f t="shared" si="35"/>
        <v>小学</v>
      </c>
      <c r="G289" s="10" t="str">
        <f t="shared" si="36"/>
        <v>103:数学</v>
      </c>
      <c r="H289" s="10" t="s">
        <v>41</v>
      </c>
      <c r="I289" s="25" t="s">
        <v>40</v>
      </c>
      <c r="J289" s="26">
        <v>75.32</v>
      </c>
      <c r="K289" s="24">
        <v>12</v>
      </c>
      <c r="L289" s="16"/>
    </row>
    <row r="290" s="4" customFormat="1" ht="33" customHeight="1" spans="1:12">
      <c r="A290" s="10">
        <v>287</v>
      </c>
      <c r="B290" s="10" t="str">
        <f>"陈玉梅"</f>
        <v>陈玉梅</v>
      </c>
      <c r="C290" s="10" t="str">
        <f>"女        "</f>
        <v>女        </v>
      </c>
      <c r="D290" s="10" t="str">
        <f>"壮族"</f>
        <v>壮族</v>
      </c>
      <c r="E290" s="10" t="str">
        <f>"广西西林县八达镇土黄村"</f>
        <v>广西西林县八达镇土黄村</v>
      </c>
      <c r="F290" s="10" t="str">
        <f t="shared" si="35"/>
        <v>小学</v>
      </c>
      <c r="G290" s="10" t="str">
        <f t="shared" si="36"/>
        <v>103:数学</v>
      </c>
      <c r="H290" s="10" t="s">
        <v>41</v>
      </c>
      <c r="I290" s="25" t="s">
        <v>40</v>
      </c>
      <c r="J290" s="26">
        <v>74.36</v>
      </c>
      <c r="K290" s="24">
        <v>13</v>
      </c>
      <c r="L290" s="16"/>
    </row>
    <row r="291" s="4" customFormat="1" ht="33" customHeight="1" spans="1:12">
      <c r="A291" s="10">
        <v>288</v>
      </c>
      <c r="B291" s="10" t="str">
        <f>"何现排"</f>
        <v>何现排</v>
      </c>
      <c r="C291" s="10" t="str">
        <f>"男        "</f>
        <v>男        </v>
      </c>
      <c r="D291" s="10" t="str">
        <f>"汉族"</f>
        <v>汉族</v>
      </c>
      <c r="E291" s="10" t="str">
        <f>"广西省百色市隆林县天生桥镇安然村"</f>
        <v>广西省百色市隆林县天生桥镇安然村</v>
      </c>
      <c r="F291" s="10" t="str">
        <f t="shared" si="35"/>
        <v>小学</v>
      </c>
      <c r="G291" s="10" t="str">
        <f t="shared" si="36"/>
        <v>103:数学</v>
      </c>
      <c r="H291" s="10" t="s">
        <v>41</v>
      </c>
      <c r="I291" s="25" t="s">
        <v>40</v>
      </c>
      <c r="J291" s="26">
        <v>74.34</v>
      </c>
      <c r="K291" s="24">
        <v>14</v>
      </c>
      <c r="L291" s="16"/>
    </row>
    <row r="292" s="4" customFormat="1" ht="33" customHeight="1" spans="1:12">
      <c r="A292" s="10">
        <v>289</v>
      </c>
      <c r="B292" s="10" t="str">
        <f>"鄢军"</f>
        <v>鄢军</v>
      </c>
      <c r="C292" s="10" t="str">
        <f>"男        "</f>
        <v>男        </v>
      </c>
      <c r="D292" s="10" t="str">
        <f>"汉族"</f>
        <v>汉族</v>
      </c>
      <c r="E292" s="10" t="str">
        <f>"广西百色隆林县新州镇民强村六我屯"</f>
        <v>广西百色隆林县新州镇民强村六我屯</v>
      </c>
      <c r="F292" s="10" t="str">
        <f t="shared" si="35"/>
        <v>小学</v>
      </c>
      <c r="G292" s="10" t="str">
        <f t="shared" si="36"/>
        <v>103:数学</v>
      </c>
      <c r="H292" s="10" t="s">
        <v>41</v>
      </c>
      <c r="I292" s="25" t="s">
        <v>40</v>
      </c>
      <c r="J292" s="27" t="s">
        <v>18</v>
      </c>
      <c r="K292" s="24">
        <v>15</v>
      </c>
      <c r="L292" s="16"/>
    </row>
    <row r="293" s="4" customFormat="1" ht="33" customHeight="1" spans="1:12">
      <c r="A293" s="10">
        <v>290</v>
      </c>
      <c r="B293" s="10" t="str">
        <f>"罗浩"</f>
        <v>罗浩</v>
      </c>
      <c r="C293" s="10" t="str">
        <f>"男        "</f>
        <v>男        </v>
      </c>
      <c r="D293" s="10" t="str">
        <f>"苗族"</f>
        <v>苗族</v>
      </c>
      <c r="E293" s="10" t="str">
        <f>"广西百色市隆林各族自治县德峨镇水井村龙吓屯"</f>
        <v>广西百色市隆林各族自治县德峨镇水井村龙吓屯</v>
      </c>
      <c r="F293" s="10" t="str">
        <f t="shared" si="35"/>
        <v>小学</v>
      </c>
      <c r="G293" s="10" t="str">
        <f t="shared" si="36"/>
        <v>103:数学</v>
      </c>
      <c r="H293" s="10" t="s">
        <v>41</v>
      </c>
      <c r="I293" s="25" t="s">
        <v>40</v>
      </c>
      <c r="J293" s="27" t="s">
        <v>18</v>
      </c>
      <c r="K293" s="24">
        <v>16</v>
      </c>
      <c r="L293" s="16"/>
    </row>
    <row r="294" s="4" customFormat="1" ht="33" customHeight="1" spans="1:12">
      <c r="A294" s="10">
        <v>291</v>
      </c>
      <c r="B294" s="10" t="str">
        <f>"唐楠"</f>
        <v>唐楠</v>
      </c>
      <c r="C294" s="10" t="str">
        <f>"女        "</f>
        <v>女        </v>
      </c>
      <c r="D294" s="10" t="str">
        <f>"汉族"</f>
        <v>汉族</v>
      </c>
      <c r="E294" s="10" t="str">
        <f>"云南省曲靖市富源县汇溪苑小区7幢"</f>
        <v>云南省曲靖市富源县汇溪苑小区7幢</v>
      </c>
      <c r="F294" s="10" t="str">
        <f t="shared" si="35"/>
        <v>小学</v>
      </c>
      <c r="G294" s="10" t="str">
        <f t="shared" si="36"/>
        <v>103:数学</v>
      </c>
      <c r="H294" s="10" t="s">
        <v>19</v>
      </c>
      <c r="I294" s="28" t="s">
        <v>42</v>
      </c>
      <c r="J294" s="26">
        <v>86.82</v>
      </c>
      <c r="K294" s="22">
        <v>1</v>
      </c>
      <c r="L294" s="16" t="s">
        <v>15</v>
      </c>
    </row>
    <row r="295" s="4" customFormat="1" ht="33" customHeight="1" spans="1:12">
      <c r="A295" s="10">
        <v>292</v>
      </c>
      <c r="B295" s="10" t="str">
        <f>"张兴秀"</f>
        <v>张兴秀</v>
      </c>
      <c r="C295" s="10" t="str">
        <f>"女        "</f>
        <v>女        </v>
      </c>
      <c r="D295" s="10" t="str">
        <f>"苗族"</f>
        <v>苗族</v>
      </c>
      <c r="E295" s="10" t="str">
        <f>"隆林商业步行街68栋"</f>
        <v>隆林商业步行街68栋</v>
      </c>
      <c r="F295" s="10" t="str">
        <f t="shared" si="35"/>
        <v>小学</v>
      </c>
      <c r="G295" s="10" t="str">
        <f t="shared" si="36"/>
        <v>103:数学</v>
      </c>
      <c r="H295" s="10" t="s">
        <v>19</v>
      </c>
      <c r="I295" s="28" t="s">
        <v>42</v>
      </c>
      <c r="J295" s="26">
        <v>84.8</v>
      </c>
      <c r="K295" s="22">
        <v>2</v>
      </c>
      <c r="L295" s="16" t="s">
        <v>15</v>
      </c>
    </row>
    <row r="296" s="4" customFormat="1" ht="33" customHeight="1" spans="1:12">
      <c r="A296" s="10">
        <v>293</v>
      </c>
      <c r="B296" s="10" t="str">
        <f>"陈念"</f>
        <v>陈念</v>
      </c>
      <c r="C296" s="10" t="str">
        <f>"女        "</f>
        <v>女        </v>
      </c>
      <c r="D296" s="10" t="str">
        <f>"壮族"</f>
        <v>壮族</v>
      </c>
      <c r="E296" s="10" t="str">
        <f>"广西百色市隆林县平班镇扁牙村"</f>
        <v>广西百色市隆林县平班镇扁牙村</v>
      </c>
      <c r="F296" s="10" t="str">
        <f t="shared" si="35"/>
        <v>小学</v>
      </c>
      <c r="G296" s="10" t="str">
        <f t="shared" si="36"/>
        <v>103:数学</v>
      </c>
      <c r="H296" s="10" t="s">
        <v>19</v>
      </c>
      <c r="I296" s="28" t="s">
        <v>42</v>
      </c>
      <c r="J296" s="26">
        <v>84.28</v>
      </c>
      <c r="K296" s="24">
        <v>3</v>
      </c>
      <c r="L296" s="16"/>
    </row>
    <row r="297" s="4" customFormat="1" ht="33" customHeight="1" spans="1:12">
      <c r="A297" s="10">
        <v>294</v>
      </c>
      <c r="B297" s="10" t="str">
        <f>"李大平"</f>
        <v>李大平</v>
      </c>
      <c r="C297" s="10" t="str">
        <f>"男        "</f>
        <v>男        </v>
      </c>
      <c r="D297" s="10" t="str">
        <f>"汉族"</f>
        <v>汉族</v>
      </c>
      <c r="E297" s="10" t="str">
        <f>"云南省文山州广南县董堡乡"</f>
        <v>云南省文山州广南县董堡乡</v>
      </c>
      <c r="F297" s="10" t="str">
        <f t="shared" si="35"/>
        <v>小学</v>
      </c>
      <c r="G297" s="10" t="str">
        <f t="shared" si="36"/>
        <v>103:数学</v>
      </c>
      <c r="H297" s="10" t="s">
        <v>19</v>
      </c>
      <c r="I297" s="28" t="s">
        <v>42</v>
      </c>
      <c r="J297" s="26">
        <v>83.78</v>
      </c>
      <c r="K297" s="24">
        <v>4</v>
      </c>
      <c r="L297" s="16"/>
    </row>
    <row r="298" s="4" customFormat="1" ht="33" customHeight="1" spans="1:12">
      <c r="A298" s="10">
        <v>295</v>
      </c>
      <c r="B298" s="10" t="str">
        <f>"周于钦"</f>
        <v>周于钦</v>
      </c>
      <c r="C298" s="10" t="str">
        <f>"男        "</f>
        <v>男        </v>
      </c>
      <c r="D298" s="10" t="str">
        <f>"汉族"</f>
        <v>汉族</v>
      </c>
      <c r="E298" s="10" t="str">
        <f>"广西百色市隆林县利通小区c栋三单元"</f>
        <v>广西百色市隆林县利通小区c栋三单元</v>
      </c>
      <c r="F298" s="10" t="str">
        <f t="shared" si="35"/>
        <v>小学</v>
      </c>
      <c r="G298" s="10" t="str">
        <f t="shared" si="36"/>
        <v>103:数学</v>
      </c>
      <c r="H298" s="10" t="s">
        <v>19</v>
      </c>
      <c r="I298" s="28" t="s">
        <v>42</v>
      </c>
      <c r="J298" s="26">
        <v>82.54</v>
      </c>
      <c r="K298" s="24">
        <v>5</v>
      </c>
      <c r="L298" s="16"/>
    </row>
    <row r="299" s="4" customFormat="1" ht="33" customHeight="1" spans="1:12">
      <c r="A299" s="10">
        <v>296</v>
      </c>
      <c r="B299" s="10" t="str">
        <f>"邓虎"</f>
        <v>邓虎</v>
      </c>
      <c r="C299" s="10" t="str">
        <f>"男        "</f>
        <v>男        </v>
      </c>
      <c r="D299" s="10" t="str">
        <f>"汉族"</f>
        <v>汉族</v>
      </c>
      <c r="E299" s="10" t="str">
        <f>"贵州省安龙县兴隆镇红星村"</f>
        <v>贵州省安龙县兴隆镇红星村</v>
      </c>
      <c r="F299" s="10" t="str">
        <f t="shared" si="35"/>
        <v>小学</v>
      </c>
      <c r="G299" s="10" t="str">
        <f t="shared" si="36"/>
        <v>103:数学</v>
      </c>
      <c r="H299" s="10" t="s">
        <v>19</v>
      </c>
      <c r="I299" s="28" t="s">
        <v>42</v>
      </c>
      <c r="J299" s="26">
        <v>82.28</v>
      </c>
      <c r="K299" s="24">
        <v>6</v>
      </c>
      <c r="L299" s="16"/>
    </row>
    <row r="300" s="4" customFormat="1" ht="33" customHeight="1" spans="1:12">
      <c r="A300" s="10">
        <v>297</v>
      </c>
      <c r="B300" s="10" t="str">
        <f>"肖继萍"</f>
        <v>肖继萍</v>
      </c>
      <c r="C300" s="10" t="str">
        <f>"女        "</f>
        <v>女        </v>
      </c>
      <c r="D300" s="10" t="str">
        <f>"汉族"</f>
        <v>汉族</v>
      </c>
      <c r="E300" s="10" t="str">
        <f>"云南省红河哈尼彝族自治州个旧市"</f>
        <v>云南省红河哈尼彝族自治州个旧市</v>
      </c>
      <c r="F300" s="10" t="str">
        <f t="shared" si="35"/>
        <v>小学</v>
      </c>
      <c r="G300" s="10" t="str">
        <f t="shared" si="36"/>
        <v>103:数学</v>
      </c>
      <c r="H300" s="10" t="s">
        <v>19</v>
      </c>
      <c r="I300" s="28" t="s">
        <v>42</v>
      </c>
      <c r="J300" s="26">
        <v>82.26</v>
      </c>
      <c r="K300" s="24">
        <v>7</v>
      </c>
      <c r="L300" s="16"/>
    </row>
    <row r="301" s="4" customFormat="1" ht="33" customHeight="1" spans="1:12">
      <c r="A301" s="10">
        <v>298</v>
      </c>
      <c r="B301" s="10" t="str">
        <f>"黄品练"</f>
        <v>黄品练</v>
      </c>
      <c r="C301" s="10" t="str">
        <f>"女        "</f>
        <v>女        </v>
      </c>
      <c r="D301" s="10" t="str">
        <f>"壮族"</f>
        <v>壮族</v>
      </c>
      <c r="E301" s="10" t="str">
        <f>""</f>
        <v/>
      </c>
      <c r="F301" s="10" t="str">
        <f t="shared" si="35"/>
        <v>小学</v>
      </c>
      <c r="G301" s="10" t="str">
        <f t="shared" si="36"/>
        <v>103:数学</v>
      </c>
      <c r="H301" s="10" t="s">
        <v>19</v>
      </c>
      <c r="I301" s="28" t="s">
        <v>42</v>
      </c>
      <c r="J301" s="26">
        <v>80.54</v>
      </c>
      <c r="K301" s="24">
        <v>8</v>
      </c>
      <c r="L301" s="16"/>
    </row>
    <row r="302" s="4" customFormat="1" ht="33" customHeight="1" spans="1:12">
      <c r="A302" s="10">
        <v>299</v>
      </c>
      <c r="B302" s="10" t="str">
        <f>"何坤凤"</f>
        <v>何坤凤</v>
      </c>
      <c r="C302" s="10" t="str">
        <f>"女        "</f>
        <v>女        </v>
      </c>
      <c r="D302" s="10" t="str">
        <f>"汉族"</f>
        <v>汉族</v>
      </c>
      <c r="E302" s="10" t="str">
        <f>"贵州省六盘水市盘县保田镇鲁楚坡四组"</f>
        <v>贵州省六盘水市盘县保田镇鲁楚坡四组</v>
      </c>
      <c r="F302" s="10" t="str">
        <f t="shared" si="35"/>
        <v>小学</v>
      </c>
      <c r="G302" s="10" t="str">
        <f t="shared" si="36"/>
        <v>103:数学</v>
      </c>
      <c r="H302" s="10" t="s">
        <v>19</v>
      </c>
      <c r="I302" s="28" t="s">
        <v>42</v>
      </c>
      <c r="J302" s="26">
        <v>80.46</v>
      </c>
      <c r="K302" s="24">
        <v>9</v>
      </c>
      <c r="L302" s="16"/>
    </row>
    <row r="303" s="4" customFormat="1" ht="33" customHeight="1" spans="1:12">
      <c r="A303" s="10">
        <v>300</v>
      </c>
      <c r="B303" s="10" t="str">
        <f>"赵呈秀"</f>
        <v>赵呈秀</v>
      </c>
      <c r="C303" s="10" t="str">
        <f>"女        "</f>
        <v>女        </v>
      </c>
      <c r="D303" s="10" t="str">
        <f>"壮族"</f>
        <v>壮族</v>
      </c>
      <c r="E303" s="10" t="str">
        <f>"广西西林县马蚌乡"</f>
        <v>广西西林县马蚌乡</v>
      </c>
      <c r="F303" s="10" t="str">
        <f t="shared" si="35"/>
        <v>小学</v>
      </c>
      <c r="G303" s="10" t="str">
        <f t="shared" si="36"/>
        <v>103:数学</v>
      </c>
      <c r="H303" s="10" t="s">
        <v>19</v>
      </c>
      <c r="I303" s="28" t="s">
        <v>42</v>
      </c>
      <c r="J303" s="26">
        <v>79.8</v>
      </c>
      <c r="K303" s="24">
        <v>10</v>
      </c>
      <c r="L303" s="16"/>
    </row>
    <row r="304" s="4" customFormat="1" ht="33" customHeight="1" spans="1:12">
      <c r="A304" s="10">
        <v>301</v>
      </c>
      <c r="B304" s="10" t="str">
        <f>"陆永春"</f>
        <v>陆永春</v>
      </c>
      <c r="C304" s="10" t="str">
        <f>"男        "</f>
        <v>男        </v>
      </c>
      <c r="D304" s="10" t="str">
        <f>"壮族"</f>
        <v>壮族</v>
      </c>
      <c r="E304" s="10" t="str">
        <f>"云南省文山壮族苗族自治州广南县董堡乡罗瓦村257号"</f>
        <v>云南省文山壮族苗族自治州广南县董堡乡罗瓦村257号</v>
      </c>
      <c r="F304" s="10" t="str">
        <f t="shared" si="35"/>
        <v>小学</v>
      </c>
      <c r="G304" s="10" t="str">
        <f t="shared" si="36"/>
        <v>103:数学</v>
      </c>
      <c r="H304" s="10" t="s">
        <v>19</v>
      </c>
      <c r="I304" s="28" t="s">
        <v>42</v>
      </c>
      <c r="J304" s="26">
        <v>79.48</v>
      </c>
      <c r="K304" s="24">
        <v>11</v>
      </c>
      <c r="L304" s="16"/>
    </row>
    <row r="305" s="4" customFormat="1" ht="33" customHeight="1" spans="1:12">
      <c r="A305" s="10">
        <v>302</v>
      </c>
      <c r="B305" s="10" t="str">
        <f>"吴耀峰"</f>
        <v>吴耀峰</v>
      </c>
      <c r="C305" s="10" t="str">
        <f>"男        "</f>
        <v>男        </v>
      </c>
      <c r="D305" s="10" t="str">
        <f>"汉族"</f>
        <v>汉族</v>
      </c>
      <c r="E305" s="10" t="str">
        <f>""</f>
        <v/>
      </c>
      <c r="F305" s="10" t="str">
        <f t="shared" si="35"/>
        <v>小学</v>
      </c>
      <c r="G305" s="10" t="str">
        <f t="shared" si="36"/>
        <v>103:数学</v>
      </c>
      <c r="H305" s="10" t="s">
        <v>19</v>
      </c>
      <c r="I305" s="28" t="s">
        <v>42</v>
      </c>
      <c r="J305" s="26">
        <v>77.86</v>
      </c>
      <c r="K305" s="24">
        <v>12</v>
      </c>
      <c r="L305" s="16"/>
    </row>
    <row r="306" s="4" customFormat="1" ht="33" customHeight="1" spans="1:12">
      <c r="A306" s="10">
        <v>303</v>
      </c>
      <c r="B306" s="10" t="str">
        <f>"罗建生"</f>
        <v>罗建生</v>
      </c>
      <c r="C306" s="10" t="str">
        <f>"男        "</f>
        <v>男        </v>
      </c>
      <c r="D306" s="10" t="str">
        <f>"布依族"</f>
        <v>布依族</v>
      </c>
      <c r="E306" s="10" t="str">
        <f>""</f>
        <v/>
      </c>
      <c r="F306" s="10" t="str">
        <f t="shared" si="35"/>
        <v>小学</v>
      </c>
      <c r="G306" s="10" t="str">
        <f t="shared" si="36"/>
        <v>103:数学</v>
      </c>
      <c r="H306" s="10" t="s">
        <v>19</v>
      </c>
      <c r="I306" s="28" t="s">
        <v>42</v>
      </c>
      <c r="J306" s="26">
        <v>77.26</v>
      </c>
      <c r="K306" s="24">
        <v>13</v>
      </c>
      <c r="L306" s="16"/>
    </row>
    <row r="307" s="4" customFormat="1" ht="33" customHeight="1" spans="1:12">
      <c r="A307" s="10">
        <v>304</v>
      </c>
      <c r="B307" s="10" t="str">
        <f>"李星融"</f>
        <v>李星融</v>
      </c>
      <c r="C307" s="10" t="str">
        <f>"女        "</f>
        <v>女        </v>
      </c>
      <c r="D307" s="10" t="str">
        <f>"苗族"</f>
        <v>苗族</v>
      </c>
      <c r="E307" s="10" t="str">
        <f>"广西隆林各族自治县德峨镇金平村干上屯002号"</f>
        <v>广西隆林各族自治县德峨镇金平村干上屯002号</v>
      </c>
      <c r="F307" s="10" t="str">
        <f t="shared" ref="F307:F338" si="37">"小学"</f>
        <v>小学</v>
      </c>
      <c r="G307" s="10" t="str">
        <f t="shared" ref="G307:G318" si="38">"103:数学"</f>
        <v>103:数学</v>
      </c>
      <c r="H307" s="10" t="s">
        <v>19</v>
      </c>
      <c r="I307" s="28" t="s">
        <v>42</v>
      </c>
      <c r="J307" s="26">
        <v>77.1</v>
      </c>
      <c r="K307" s="24">
        <v>14</v>
      </c>
      <c r="L307" s="16"/>
    </row>
    <row r="308" s="4" customFormat="1" ht="33" customHeight="1" spans="1:12">
      <c r="A308" s="10">
        <v>305</v>
      </c>
      <c r="B308" s="10" t="str">
        <f>"徐华"</f>
        <v>徐华</v>
      </c>
      <c r="C308" s="10" t="str">
        <f>"男        "</f>
        <v>男        </v>
      </c>
      <c r="D308" s="10" t="str">
        <f>"汉族"</f>
        <v>汉族</v>
      </c>
      <c r="E308" s="10" t="str">
        <f>"广西隆林各族自治县隆或乡沙保村用井屯012号"</f>
        <v>广西隆林各族自治县隆或乡沙保村用井屯012号</v>
      </c>
      <c r="F308" s="10" t="str">
        <f t="shared" si="37"/>
        <v>小学</v>
      </c>
      <c r="G308" s="10" t="str">
        <f t="shared" si="38"/>
        <v>103:数学</v>
      </c>
      <c r="H308" s="10" t="s">
        <v>19</v>
      </c>
      <c r="I308" s="28" t="s">
        <v>42</v>
      </c>
      <c r="J308" s="26">
        <v>76.32</v>
      </c>
      <c r="K308" s="24">
        <v>15</v>
      </c>
      <c r="L308" s="16"/>
    </row>
    <row r="309" s="4" customFormat="1" ht="33" customHeight="1" spans="1:12">
      <c r="A309" s="10">
        <v>306</v>
      </c>
      <c r="B309" s="10" t="str">
        <f>"何贵珍"</f>
        <v>何贵珍</v>
      </c>
      <c r="C309" s="10" t="str">
        <f>"女        "</f>
        <v>女        </v>
      </c>
      <c r="D309" s="10" t="str">
        <f>"汉族"</f>
        <v>汉族</v>
      </c>
      <c r="E309" s="10" t="str">
        <f>""</f>
        <v/>
      </c>
      <c r="F309" s="10" t="str">
        <f t="shared" si="37"/>
        <v>小学</v>
      </c>
      <c r="G309" s="10" t="str">
        <f t="shared" si="38"/>
        <v>103:数学</v>
      </c>
      <c r="H309" s="10" t="s">
        <v>19</v>
      </c>
      <c r="I309" s="28" t="s">
        <v>42</v>
      </c>
      <c r="J309" s="26">
        <v>74.88</v>
      </c>
      <c r="K309" s="24">
        <v>16</v>
      </c>
      <c r="L309" s="16"/>
    </row>
    <row r="310" s="4" customFormat="1" ht="33" customHeight="1" spans="1:12">
      <c r="A310" s="10">
        <v>307</v>
      </c>
      <c r="B310" s="10" t="str">
        <f>"邱波"</f>
        <v>邱波</v>
      </c>
      <c r="C310" s="10" t="str">
        <f>"女        "</f>
        <v>女        </v>
      </c>
      <c r="D310" s="10" t="str">
        <f>"汉族"</f>
        <v>汉族</v>
      </c>
      <c r="E310" s="10" t="str">
        <f>"广西隆林各族自治县克长乡猴场村猴场屯"</f>
        <v>广西隆林各族自治县克长乡猴场村猴场屯</v>
      </c>
      <c r="F310" s="10" t="str">
        <f t="shared" si="37"/>
        <v>小学</v>
      </c>
      <c r="G310" s="10" t="str">
        <f t="shared" si="38"/>
        <v>103:数学</v>
      </c>
      <c r="H310" s="10" t="s">
        <v>19</v>
      </c>
      <c r="I310" s="28" t="s">
        <v>42</v>
      </c>
      <c r="J310" s="26">
        <v>74.2</v>
      </c>
      <c r="K310" s="24">
        <v>17</v>
      </c>
      <c r="L310" s="16"/>
    </row>
    <row r="311" s="4" customFormat="1" ht="33" customHeight="1" spans="1:12">
      <c r="A311" s="10">
        <v>308</v>
      </c>
      <c r="B311" s="10" t="str">
        <f>"王振吕"</f>
        <v>王振吕</v>
      </c>
      <c r="C311" s="10" t="str">
        <f>"男        "</f>
        <v>男        </v>
      </c>
      <c r="D311" s="10" t="str">
        <f>"汉族"</f>
        <v>汉族</v>
      </c>
      <c r="E311" s="10" t="str">
        <f>"云南省曲靖市陆良县小百户镇永清河委会永清河村"</f>
        <v>云南省曲靖市陆良县小百户镇永清河委会永清河村</v>
      </c>
      <c r="F311" s="10" t="str">
        <f t="shared" si="37"/>
        <v>小学</v>
      </c>
      <c r="G311" s="10" t="str">
        <f t="shared" si="38"/>
        <v>103:数学</v>
      </c>
      <c r="H311" s="10" t="s">
        <v>19</v>
      </c>
      <c r="I311" s="28" t="s">
        <v>42</v>
      </c>
      <c r="J311" s="26">
        <v>73.54</v>
      </c>
      <c r="K311" s="24">
        <v>18</v>
      </c>
      <c r="L311" s="16"/>
    </row>
    <row r="312" s="4" customFormat="1" ht="33" customHeight="1" spans="1:12">
      <c r="A312" s="10">
        <v>309</v>
      </c>
      <c r="B312" s="10" t="str">
        <f>"杨康法"</f>
        <v>杨康法</v>
      </c>
      <c r="C312" s="10" t="str">
        <f>"男        "</f>
        <v>男        </v>
      </c>
      <c r="D312" s="10" t="str">
        <f>"苗族"</f>
        <v>苗族</v>
      </c>
      <c r="E312" s="10" t="str">
        <f>"广西百色市隆林各族自治县克长乡"</f>
        <v>广西百色市隆林各族自治县克长乡</v>
      </c>
      <c r="F312" s="10" t="str">
        <f t="shared" si="37"/>
        <v>小学</v>
      </c>
      <c r="G312" s="10" t="str">
        <f t="shared" si="38"/>
        <v>103:数学</v>
      </c>
      <c r="H312" s="10" t="s">
        <v>19</v>
      </c>
      <c r="I312" s="28" t="s">
        <v>42</v>
      </c>
      <c r="J312" s="26">
        <v>71.34</v>
      </c>
      <c r="K312" s="24">
        <v>19</v>
      </c>
      <c r="L312" s="16"/>
    </row>
    <row r="313" s="4" customFormat="1" ht="33" customHeight="1" spans="1:12">
      <c r="A313" s="10">
        <v>310</v>
      </c>
      <c r="B313" s="10" t="str">
        <f>"吴东宇"</f>
        <v>吴东宇</v>
      </c>
      <c r="C313" s="10" t="str">
        <f>"男        "</f>
        <v>男        </v>
      </c>
      <c r="D313" s="10" t="str">
        <f>"壮族"</f>
        <v>壮族</v>
      </c>
      <c r="E313" s="10" t="str">
        <f>"广西西林县那劳镇那劳村老街屯052号"</f>
        <v>广西西林县那劳镇那劳村老街屯052号</v>
      </c>
      <c r="F313" s="10" t="str">
        <f t="shared" si="37"/>
        <v>小学</v>
      </c>
      <c r="G313" s="10" t="str">
        <f t="shared" si="38"/>
        <v>103:数学</v>
      </c>
      <c r="H313" s="10" t="s">
        <v>19</v>
      </c>
      <c r="I313" s="28" t="s">
        <v>42</v>
      </c>
      <c r="J313" s="26">
        <v>64</v>
      </c>
      <c r="K313" s="24">
        <v>20</v>
      </c>
      <c r="L313" s="16"/>
    </row>
    <row r="314" s="4" customFormat="1" ht="33" customHeight="1" spans="1:12">
      <c r="A314" s="10">
        <v>311</v>
      </c>
      <c r="B314" s="10" t="str">
        <f>"龙锦新"</f>
        <v>龙锦新</v>
      </c>
      <c r="C314" s="10" t="str">
        <f>"男        "</f>
        <v>男        </v>
      </c>
      <c r="D314" s="10" t="str">
        <f>"彝族"</f>
        <v>彝族</v>
      </c>
      <c r="E314" s="10" t="str">
        <f>"贵州省兴仁县新马场乡围豹村二组1号"</f>
        <v>贵州省兴仁县新马场乡围豹村二组1号</v>
      </c>
      <c r="F314" s="10" t="str">
        <f t="shared" si="37"/>
        <v>小学</v>
      </c>
      <c r="G314" s="10" t="str">
        <f t="shared" si="38"/>
        <v>103:数学</v>
      </c>
      <c r="H314" s="10" t="s">
        <v>19</v>
      </c>
      <c r="I314" s="28" t="s">
        <v>42</v>
      </c>
      <c r="J314" s="26">
        <v>61.32</v>
      </c>
      <c r="K314" s="24">
        <v>21</v>
      </c>
      <c r="L314" s="16"/>
    </row>
    <row r="315" s="4" customFormat="1" ht="33" customHeight="1" spans="1:12">
      <c r="A315" s="10">
        <v>312</v>
      </c>
      <c r="B315" s="10" t="str">
        <f>"王海娟"</f>
        <v>王海娟</v>
      </c>
      <c r="C315" s="10" t="str">
        <f>"女        "</f>
        <v>女        </v>
      </c>
      <c r="D315" s="10" t="str">
        <f>"壮族"</f>
        <v>壮族</v>
      </c>
      <c r="E315" s="10" t="str">
        <f>"广西隆林各族自治县岩茶乡卡白村下寒屯20号"</f>
        <v>广西隆林各族自治县岩茶乡卡白村下寒屯20号</v>
      </c>
      <c r="F315" s="10" t="str">
        <f t="shared" si="37"/>
        <v>小学</v>
      </c>
      <c r="G315" s="10" t="str">
        <f t="shared" si="38"/>
        <v>103:数学</v>
      </c>
      <c r="H315" s="10" t="s">
        <v>19</v>
      </c>
      <c r="I315" s="28" t="s">
        <v>42</v>
      </c>
      <c r="J315" s="27" t="s">
        <v>18</v>
      </c>
      <c r="K315" s="24">
        <v>22</v>
      </c>
      <c r="L315" s="16"/>
    </row>
    <row r="316" s="4" customFormat="1" ht="33" customHeight="1" spans="1:12">
      <c r="A316" s="10">
        <v>313</v>
      </c>
      <c r="B316" s="10" t="str">
        <f>"朱习元"</f>
        <v>朱习元</v>
      </c>
      <c r="C316" s="10" t="str">
        <f>"男        "</f>
        <v>男        </v>
      </c>
      <c r="D316" s="10" t="str">
        <f>"苗族"</f>
        <v>苗族</v>
      </c>
      <c r="E316" s="10" t="str">
        <f>"贵州省望谟县新屯镇坪湘村朱家堡组"</f>
        <v>贵州省望谟县新屯镇坪湘村朱家堡组</v>
      </c>
      <c r="F316" s="10" t="str">
        <f t="shared" si="37"/>
        <v>小学</v>
      </c>
      <c r="G316" s="10" t="str">
        <f t="shared" si="38"/>
        <v>103:数学</v>
      </c>
      <c r="H316" s="10" t="s">
        <v>19</v>
      </c>
      <c r="I316" s="28" t="s">
        <v>42</v>
      </c>
      <c r="J316" s="27" t="s">
        <v>18</v>
      </c>
      <c r="K316" s="24">
        <v>23</v>
      </c>
      <c r="L316" s="16"/>
    </row>
    <row r="317" s="4" customFormat="1" ht="33" customHeight="1" spans="1:12">
      <c r="A317" s="10">
        <v>314</v>
      </c>
      <c r="B317" s="10" t="str">
        <f>"孔德江"</f>
        <v>孔德江</v>
      </c>
      <c r="C317" s="10" t="str">
        <f>"男        "</f>
        <v>男        </v>
      </c>
      <c r="D317" s="10" t="str">
        <f>"汉族"</f>
        <v>汉族</v>
      </c>
      <c r="E317" s="10" t="str">
        <f>"贵州省普安县盘水镇文笔村小关岭组"</f>
        <v>贵州省普安县盘水镇文笔村小关岭组</v>
      </c>
      <c r="F317" s="10" t="str">
        <f t="shared" si="37"/>
        <v>小学</v>
      </c>
      <c r="G317" s="10" t="str">
        <f t="shared" si="38"/>
        <v>103:数学</v>
      </c>
      <c r="H317" s="10" t="s">
        <v>19</v>
      </c>
      <c r="I317" s="28" t="s">
        <v>42</v>
      </c>
      <c r="J317" s="27" t="s">
        <v>18</v>
      </c>
      <c r="K317" s="24">
        <v>24</v>
      </c>
      <c r="L317" s="16"/>
    </row>
    <row r="318" s="4" customFormat="1" ht="33" customHeight="1" spans="1:12">
      <c r="A318" s="10">
        <v>315</v>
      </c>
      <c r="B318" s="10" t="str">
        <f>"刘星敏"</f>
        <v>刘星敏</v>
      </c>
      <c r="C318" s="10" t="str">
        <f>"女        "</f>
        <v>女        </v>
      </c>
      <c r="D318" s="10" t="str">
        <f>"布依族"</f>
        <v>布依族</v>
      </c>
      <c r="E318" s="10" t="str">
        <f>"云南省曲靖市罗平县鲁布革乡多依村委会多依村"</f>
        <v>云南省曲靖市罗平县鲁布革乡多依村委会多依村</v>
      </c>
      <c r="F318" s="10" t="str">
        <f t="shared" si="37"/>
        <v>小学</v>
      </c>
      <c r="G318" s="10" t="str">
        <f t="shared" si="38"/>
        <v>103:数学</v>
      </c>
      <c r="H318" s="10" t="s">
        <v>19</v>
      </c>
      <c r="I318" s="28" t="s">
        <v>42</v>
      </c>
      <c r="J318" s="27" t="s">
        <v>18</v>
      </c>
      <c r="K318" s="24">
        <v>25</v>
      </c>
      <c r="L318" s="16"/>
    </row>
    <row r="319" s="4" customFormat="1" ht="33" customHeight="1" spans="1:12">
      <c r="A319" s="10">
        <v>316</v>
      </c>
      <c r="B319" s="10" t="str">
        <f>"黄瑄"</f>
        <v>黄瑄</v>
      </c>
      <c r="C319" s="10" t="str">
        <f>"女        "</f>
        <v>女        </v>
      </c>
      <c r="D319" s="10" t="str">
        <f>"汉族"</f>
        <v>汉族</v>
      </c>
      <c r="E319" s="10" t="str">
        <f>"广西隆林各族自治县金钟山乡平流村杨家湾屯002号"</f>
        <v>广西隆林各族自治县金钟山乡平流村杨家湾屯002号</v>
      </c>
      <c r="F319" s="10" t="str">
        <f t="shared" si="37"/>
        <v>小学</v>
      </c>
      <c r="G319" s="10" t="str">
        <f t="shared" ref="G319:G350" si="39">"102:语文"</f>
        <v>102:语文</v>
      </c>
      <c r="H319" s="10" t="s">
        <v>21</v>
      </c>
      <c r="I319" s="15" t="s">
        <v>43</v>
      </c>
      <c r="J319" s="26">
        <v>89.74</v>
      </c>
      <c r="K319" s="22">
        <v>1</v>
      </c>
      <c r="L319" s="16" t="s">
        <v>15</v>
      </c>
    </row>
    <row r="320" s="4" customFormat="1" ht="33" customHeight="1" spans="1:12">
      <c r="A320" s="10">
        <v>317</v>
      </c>
      <c r="B320" s="10" t="str">
        <f>"黄周"</f>
        <v>黄周</v>
      </c>
      <c r="C320" s="10" t="str">
        <f>"男        "</f>
        <v>男        </v>
      </c>
      <c r="D320" s="10" t="str">
        <f>"汉族"</f>
        <v>汉族</v>
      </c>
      <c r="E320" s="10" t="str">
        <f>"广西隆林各族自治县隆或镇马卡村陇刚屯085号"</f>
        <v>广西隆林各族自治县隆或镇马卡村陇刚屯085号</v>
      </c>
      <c r="F320" s="10" t="str">
        <f t="shared" si="37"/>
        <v>小学</v>
      </c>
      <c r="G320" s="10" t="str">
        <f t="shared" si="39"/>
        <v>102:语文</v>
      </c>
      <c r="H320" s="10" t="s">
        <v>21</v>
      </c>
      <c r="I320" s="15" t="s">
        <v>43</v>
      </c>
      <c r="J320" s="26">
        <v>87.4</v>
      </c>
      <c r="K320" s="22">
        <v>2</v>
      </c>
      <c r="L320" s="16" t="s">
        <v>15</v>
      </c>
    </row>
    <row r="321" s="4" customFormat="1" ht="33" customHeight="1" spans="1:12">
      <c r="A321" s="10">
        <v>318</v>
      </c>
      <c r="B321" s="10" t="str">
        <f>"常玉林"</f>
        <v>常玉林</v>
      </c>
      <c r="C321" s="10" t="str">
        <f>"女        "</f>
        <v>女        </v>
      </c>
      <c r="D321" s="10" t="str">
        <f>"汉族"</f>
        <v>汉族</v>
      </c>
      <c r="E321" s="10" t="str">
        <f>"云南省曲靖市陆良县小百户镇双官堡村委会230号"</f>
        <v>云南省曲靖市陆良县小百户镇双官堡村委会230号</v>
      </c>
      <c r="F321" s="10" t="str">
        <f t="shared" si="37"/>
        <v>小学</v>
      </c>
      <c r="G321" s="10" t="str">
        <f t="shared" si="39"/>
        <v>102:语文</v>
      </c>
      <c r="H321" s="10" t="s">
        <v>21</v>
      </c>
      <c r="I321" s="15" t="s">
        <v>43</v>
      </c>
      <c r="J321" s="26">
        <v>84.34</v>
      </c>
      <c r="K321" s="24">
        <v>3</v>
      </c>
      <c r="L321" s="16"/>
    </row>
    <row r="322" s="4" customFormat="1" ht="33" customHeight="1" spans="1:12">
      <c r="A322" s="10">
        <v>319</v>
      </c>
      <c r="B322" s="10" t="str">
        <f>"奠虎"</f>
        <v>奠虎</v>
      </c>
      <c r="C322" s="10" t="str">
        <f>"男        "</f>
        <v>男        </v>
      </c>
      <c r="D322" s="10" t="str">
        <f>"汉族"</f>
        <v>汉族</v>
      </c>
      <c r="E322" s="10" t="str">
        <f>"云南省曲靖市富源县富村镇"</f>
        <v>云南省曲靖市富源县富村镇</v>
      </c>
      <c r="F322" s="10" t="str">
        <f t="shared" si="37"/>
        <v>小学</v>
      </c>
      <c r="G322" s="10" t="str">
        <f t="shared" si="39"/>
        <v>102:语文</v>
      </c>
      <c r="H322" s="10" t="s">
        <v>21</v>
      </c>
      <c r="I322" s="15" t="s">
        <v>43</v>
      </c>
      <c r="J322" s="26">
        <v>84.28</v>
      </c>
      <c r="K322" s="24">
        <v>4</v>
      </c>
      <c r="L322" s="16"/>
    </row>
    <row r="323" s="4" customFormat="1" ht="33" customHeight="1" spans="1:12">
      <c r="A323" s="10">
        <v>320</v>
      </c>
      <c r="B323" s="10" t="str">
        <f>"李列胜"</f>
        <v>李列胜</v>
      </c>
      <c r="C323" s="10" t="str">
        <f>"男        "</f>
        <v>男        </v>
      </c>
      <c r="D323" s="10" t="str">
        <f>"彝族"</f>
        <v>彝族</v>
      </c>
      <c r="E323" s="10" t="str">
        <f>"贵州省兴仁县鲁础营回族乡"</f>
        <v>贵州省兴仁县鲁础营回族乡</v>
      </c>
      <c r="F323" s="10" t="str">
        <f t="shared" si="37"/>
        <v>小学</v>
      </c>
      <c r="G323" s="10" t="str">
        <f t="shared" si="39"/>
        <v>102:语文</v>
      </c>
      <c r="H323" s="10" t="s">
        <v>21</v>
      </c>
      <c r="I323" s="15" t="s">
        <v>43</v>
      </c>
      <c r="J323" s="26">
        <v>81.24</v>
      </c>
      <c r="K323" s="24">
        <v>5</v>
      </c>
      <c r="L323" s="16"/>
    </row>
    <row r="324" s="4" customFormat="1" ht="33" customHeight="1" spans="1:12">
      <c r="A324" s="10">
        <v>321</v>
      </c>
      <c r="B324" s="10" t="str">
        <f>"熊飞"</f>
        <v>熊飞</v>
      </c>
      <c r="C324" s="10" t="str">
        <f>"男        "</f>
        <v>男        </v>
      </c>
      <c r="D324" s="10" t="str">
        <f>"苗族"</f>
        <v>苗族</v>
      </c>
      <c r="E324" s="10" t="str">
        <f>"百色市隆林各族自治县猪场乡那岩村大田坝社15号"</f>
        <v>百色市隆林各族自治县猪场乡那岩村大田坝社15号</v>
      </c>
      <c r="F324" s="10" t="str">
        <f t="shared" si="37"/>
        <v>小学</v>
      </c>
      <c r="G324" s="10" t="str">
        <f t="shared" si="39"/>
        <v>102:语文</v>
      </c>
      <c r="H324" s="10" t="s">
        <v>21</v>
      </c>
      <c r="I324" s="15" t="s">
        <v>43</v>
      </c>
      <c r="J324" s="26">
        <v>79.26</v>
      </c>
      <c r="K324" s="24">
        <v>6</v>
      </c>
      <c r="L324" s="16"/>
    </row>
    <row r="325" s="4" customFormat="1" ht="33" customHeight="1" spans="1:12">
      <c r="A325" s="10">
        <v>322</v>
      </c>
      <c r="B325" s="10" t="str">
        <f>"胡娅"</f>
        <v>胡娅</v>
      </c>
      <c r="C325" s="10" t="str">
        <f>"女        "</f>
        <v>女        </v>
      </c>
      <c r="D325" s="10" t="str">
        <f>"汉族"</f>
        <v>汉族</v>
      </c>
      <c r="E325" s="10" t="str">
        <f>"贵州省册亨县双江镇顶肖小学"</f>
        <v>贵州省册亨县双江镇顶肖小学</v>
      </c>
      <c r="F325" s="10" t="str">
        <f t="shared" si="37"/>
        <v>小学</v>
      </c>
      <c r="G325" s="10" t="str">
        <f t="shared" si="39"/>
        <v>102:语文</v>
      </c>
      <c r="H325" s="10" t="s">
        <v>21</v>
      </c>
      <c r="I325" s="15" t="s">
        <v>43</v>
      </c>
      <c r="J325" s="26">
        <v>77.4</v>
      </c>
      <c r="K325" s="24">
        <v>7</v>
      </c>
      <c r="L325" s="16"/>
    </row>
    <row r="326" s="4" customFormat="1" ht="33" customHeight="1" spans="1:12">
      <c r="A326" s="10">
        <v>323</v>
      </c>
      <c r="B326" s="10" t="str">
        <f>"吴祥焕"</f>
        <v>吴祥焕</v>
      </c>
      <c r="C326" s="10" t="str">
        <f>"女        "</f>
        <v>女        </v>
      </c>
      <c r="D326" s="10" t="str">
        <f>"布依族"</f>
        <v>布依族</v>
      </c>
      <c r="E326" s="10" t="str">
        <f>"贵州省安龙县龙广镇纳桃村"</f>
        <v>贵州省安龙县龙广镇纳桃村</v>
      </c>
      <c r="F326" s="10" t="str">
        <f t="shared" si="37"/>
        <v>小学</v>
      </c>
      <c r="G326" s="10" t="str">
        <f t="shared" si="39"/>
        <v>102:语文</v>
      </c>
      <c r="H326" s="10" t="s">
        <v>21</v>
      </c>
      <c r="I326" s="15" t="s">
        <v>43</v>
      </c>
      <c r="J326" s="26">
        <v>74.9</v>
      </c>
      <c r="K326" s="24">
        <v>8</v>
      </c>
      <c r="L326" s="16"/>
    </row>
    <row r="327" s="4" customFormat="1" ht="33" customHeight="1" spans="1:12">
      <c r="A327" s="10">
        <v>324</v>
      </c>
      <c r="B327" s="10" t="str">
        <f>"张良芬"</f>
        <v>张良芬</v>
      </c>
      <c r="C327" s="10" t="str">
        <f>"女        "</f>
        <v>女        </v>
      </c>
      <c r="D327" s="10" t="str">
        <f>"汉族"</f>
        <v>汉族</v>
      </c>
      <c r="E327" s="10" t="str">
        <f>"贵州省望谟县新屯镇里牛村张家湾组"</f>
        <v>贵州省望谟县新屯镇里牛村张家湾组</v>
      </c>
      <c r="F327" s="10" t="str">
        <f t="shared" si="37"/>
        <v>小学</v>
      </c>
      <c r="G327" s="10" t="str">
        <f t="shared" si="39"/>
        <v>102:语文</v>
      </c>
      <c r="H327" s="10" t="s">
        <v>21</v>
      </c>
      <c r="I327" s="15" t="s">
        <v>43</v>
      </c>
      <c r="J327" s="26">
        <v>70.7</v>
      </c>
      <c r="K327" s="24">
        <v>9</v>
      </c>
      <c r="L327" s="16"/>
    </row>
    <row r="328" s="4" customFormat="1" ht="33" customHeight="1" spans="1:12">
      <c r="A328" s="10">
        <v>325</v>
      </c>
      <c r="B328" s="10" t="str">
        <f>"张彪"</f>
        <v>张彪</v>
      </c>
      <c r="C328" s="10" t="str">
        <f>"男        "</f>
        <v>男        </v>
      </c>
      <c r="D328" s="10" t="str">
        <f>"汉族"</f>
        <v>汉族</v>
      </c>
      <c r="E328" s="10" t="str">
        <f>"云南省曲靖市富源县黄泥河镇小羊场村"</f>
        <v>云南省曲靖市富源县黄泥河镇小羊场村</v>
      </c>
      <c r="F328" s="10" t="str">
        <f t="shared" si="37"/>
        <v>小学</v>
      </c>
      <c r="G328" s="10" t="str">
        <f t="shared" si="39"/>
        <v>102:语文</v>
      </c>
      <c r="H328" s="10" t="s">
        <v>21</v>
      </c>
      <c r="I328" s="15" t="s">
        <v>43</v>
      </c>
      <c r="J328" s="27" t="s">
        <v>44</v>
      </c>
      <c r="K328" s="24">
        <v>10</v>
      </c>
      <c r="L328" s="16"/>
    </row>
    <row r="329" s="4" customFormat="1" ht="33" customHeight="1" spans="1:12">
      <c r="A329" s="10">
        <v>326</v>
      </c>
      <c r="B329" s="10" t="str">
        <f>"张洪利"</f>
        <v>张洪利</v>
      </c>
      <c r="C329" s="10" t="str">
        <f>"男        "</f>
        <v>男        </v>
      </c>
      <c r="D329" s="10" t="str">
        <f>"汉族"</f>
        <v>汉族</v>
      </c>
      <c r="E329" s="10" t="str">
        <f>"贵州省仁怀市火石岗镇蔡家湾村光华组039号"</f>
        <v>贵州省仁怀市火石岗镇蔡家湾村光华组039号</v>
      </c>
      <c r="F329" s="10" t="str">
        <f t="shared" si="37"/>
        <v>小学</v>
      </c>
      <c r="G329" s="10" t="str">
        <f t="shared" si="39"/>
        <v>102:语文</v>
      </c>
      <c r="H329" s="10" t="s">
        <v>21</v>
      </c>
      <c r="I329" s="15" t="s">
        <v>43</v>
      </c>
      <c r="J329" s="27" t="s">
        <v>18</v>
      </c>
      <c r="K329" s="24">
        <v>11</v>
      </c>
      <c r="L329" s="16"/>
    </row>
    <row r="330" s="4" customFormat="1" ht="33" customHeight="1" spans="1:12">
      <c r="A330" s="10">
        <v>327</v>
      </c>
      <c r="B330" s="10" t="str">
        <f>"罗如龙"</f>
        <v>罗如龙</v>
      </c>
      <c r="C330" s="10" t="str">
        <f>"男        "</f>
        <v>男        </v>
      </c>
      <c r="D330" s="10" t="str">
        <f>"布依族"</f>
        <v>布依族</v>
      </c>
      <c r="E330" s="10" t="str">
        <f>"贵州省册亨县冗渡镇岜么村岩洞组"</f>
        <v>贵州省册亨县冗渡镇岜么村岩洞组</v>
      </c>
      <c r="F330" s="10" t="str">
        <f t="shared" si="37"/>
        <v>小学</v>
      </c>
      <c r="G330" s="10" t="str">
        <f t="shared" si="39"/>
        <v>102:语文</v>
      </c>
      <c r="H330" s="10" t="s">
        <v>21</v>
      </c>
      <c r="I330" s="15" t="s">
        <v>43</v>
      </c>
      <c r="J330" s="27" t="s">
        <v>18</v>
      </c>
      <c r="K330" s="24">
        <v>12</v>
      </c>
      <c r="L330" s="16"/>
    </row>
    <row r="331" s="4" customFormat="1" ht="33" customHeight="1" spans="1:12">
      <c r="A331" s="10">
        <v>328</v>
      </c>
      <c r="B331" s="10" t="str">
        <f>"曾运海"</f>
        <v>曾运海</v>
      </c>
      <c r="C331" s="10" t="str">
        <f>"男        "</f>
        <v>男        </v>
      </c>
      <c r="D331" s="10" t="str">
        <f>"汉族"</f>
        <v>汉族</v>
      </c>
      <c r="E331" s="10" t="str">
        <f>"贵州省兴仁县巴铃镇向家齐村大塘组"</f>
        <v>贵州省兴仁县巴铃镇向家齐村大塘组</v>
      </c>
      <c r="F331" s="10" t="str">
        <f t="shared" si="37"/>
        <v>小学</v>
      </c>
      <c r="G331" s="10" t="str">
        <f t="shared" si="39"/>
        <v>102:语文</v>
      </c>
      <c r="H331" s="10" t="s">
        <v>21</v>
      </c>
      <c r="I331" s="15" t="s">
        <v>43</v>
      </c>
      <c r="J331" s="27" t="s">
        <v>18</v>
      </c>
      <c r="K331" s="24">
        <v>13</v>
      </c>
      <c r="L331" s="16"/>
    </row>
    <row r="332" s="4" customFormat="1" ht="33" customHeight="1" spans="1:12">
      <c r="A332" s="10">
        <v>329</v>
      </c>
      <c r="B332" s="10" t="str">
        <f>"姜成香"</f>
        <v>姜成香</v>
      </c>
      <c r="C332" s="10" t="str">
        <f>"女        "</f>
        <v>女        </v>
      </c>
      <c r="D332" s="10" t="str">
        <f>"苗族"</f>
        <v>苗族</v>
      </c>
      <c r="E332" s="10" t="str">
        <f>"贵州省贞丰县龙场镇三河村螺丝湾组"</f>
        <v>贵州省贞丰县龙场镇三河村螺丝湾组</v>
      </c>
      <c r="F332" s="10" t="str">
        <f t="shared" si="37"/>
        <v>小学</v>
      </c>
      <c r="G332" s="10" t="str">
        <f t="shared" si="39"/>
        <v>102:语文</v>
      </c>
      <c r="H332" s="10" t="s">
        <v>21</v>
      </c>
      <c r="I332" s="15" t="s">
        <v>43</v>
      </c>
      <c r="J332" s="27" t="s">
        <v>18</v>
      </c>
      <c r="K332" s="24">
        <v>14</v>
      </c>
      <c r="L332" s="16"/>
    </row>
    <row r="333" s="4" customFormat="1" ht="33" customHeight="1" spans="1:12">
      <c r="A333" s="10">
        <v>330</v>
      </c>
      <c r="B333" s="10" t="str">
        <f>"李艳"</f>
        <v>李艳</v>
      </c>
      <c r="C333" s="10" t="str">
        <f>"女        "</f>
        <v>女        </v>
      </c>
      <c r="D333" s="10" t="str">
        <f>"汉族"</f>
        <v>汉族</v>
      </c>
      <c r="E333" s="10" t="str">
        <f>"贵州省望谟县新屯镇利八村五组"</f>
        <v>贵州省望谟县新屯镇利八村五组</v>
      </c>
      <c r="F333" s="10" t="str">
        <f t="shared" si="37"/>
        <v>小学</v>
      </c>
      <c r="G333" s="10" t="str">
        <f t="shared" si="39"/>
        <v>102:语文</v>
      </c>
      <c r="H333" s="10" t="s">
        <v>24</v>
      </c>
      <c r="I333" s="15" t="s">
        <v>43</v>
      </c>
      <c r="J333" s="26">
        <v>89.2</v>
      </c>
      <c r="K333" s="22">
        <v>1</v>
      </c>
      <c r="L333" s="16" t="s">
        <v>15</v>
      </c>
    </row>
    <row r="334" s="4" customFormat="1" ht="33" customHeight="1" spans="1:12">
      <c r="A334" s="10">
        <v>331</v>
      </c>
      <c r="B334" s="10" t="str">
        <f>"李甫林"</f>
        <v>李甫林</v>
      </c>
      <c r="C334" s="10" t="str">
        <f>"男        "</f>
        <v>男        </v>
      </c>
      <c r="D334" s="10" t="str">
        <f>"汉族"</f>
        <v>汉族</v>
      </c>
      <c r="E334" s="10" t="str">
        <f>"云南省曲靖市罗平县羊者窝村459号"</f>
        <v>云南省曲靖市罗平县羊者窝村459号</v>
      </c>
      <c r="F334" s="10" t="str">
        <f t="shared" si="37"/>
        <v>小学</v>
      </c>
      <c r="G334" s="10" t="str">
        <f t="shared" si="39"/>
        <v>102:语文</v>
      </c>
      <c r="H334" s="10" t="s">
        <v>24</v>
      </c>
      <c r="I334" s="15" t="s">
        <v>43</v>
      </c>
      <c r="J334" s="26">
        <v>87.66</v>
      </c>
      <c r="K334" s="22">
        <v>2</v>
      </c>
      <c r="L334" s="16" t="s">
        <v>15</v>
      </c>
    </row>
    <row r="335" s="4" customFormat="1" ht="33" customHeight="1" spans="1:12">
      <c r="A335" s="10">
        <v>332</v>
      </c>
      <c r="B335" s="10" t="str">
        <f>"黄玉霞"</f>
        <v>黄玉霞</v>
      </c>
      <c r="C335" s="10" t="str">
        <f>"女        "</f>
        <v>女        </v>
      </c>
      <c r="D335" s="10" t="str">
        <f>"彝族"</f>
        <v>彝族</v>
      </c>
      <c r="E335" s="10" t="str">
        <f>""</f>
        <v/>
      </c>
      <c r="F335" s="10" t="str">
        <f t="shared" si="37"/>
        <v>小学</v>
      </c>
      <c r="G335" s="10" t="str">
        <f t="shared" si="39"/>
        <v>102:语文</v>
      </c>
      <c r="H335" s="10" t="s">
        <v>24</v>
      </c>
      <c r="I335" s="15" t="s">
        <v>43</v>
      </c>
      <c r="J335" s="26">
        <v>86.22</v>
      </c>
      <c r="K335" s="24">
        <v>3</v>
      </c>
      <c r="L335" s="16"/>
    </row>
    <row r="336" s="4" customFormat="1" ht="33" customHeight="1" spans="1:12">
      <c r="A336" s="10">
        <v>333</v>
      </c>
      <c r="B336" s="10" t="str">
        <f>"王美金"</f>
        <v>王美金</v>
      </c>
      <c r="C336" s="10" t="str">
        <f>"女        "</f>
        <v>女        </v>
      </c>
      <c r="D336" s="10" t="str">
        <f>"苗族"</f>
        <v>苗族</v>
      </c>
      <c r="E336" s="10" t="str">
        <f>"广西百色市隆林各族自治县蛇场乡高山村上坝社20号"</f>
        <v>广西百色市隆林各族自治县蛇场乡高山村上坝社20号</v>
      </c>
      <c r="F336" s="10" t="str">
        <f t="shared" si="37"/>
        <v>小学</v>
      </c>
      <c r="G336" s="10" t="str">
        <f t="shared" si="39"/>
        <v>102:语文</v>
      </c>
      <c r="H336" s="10" t="s">
        <v>24</v>
      </c>
      <c r="I336" s="15" t="s">
        <v>43</v>
      </c>
      <c r="J336" s="26">
        <v>85.44</v>
      </c>
      <c r="K336" s="24">
        <v>4</v>
      </c>
      <c r="L336" s="16"/>
    </row>
    <row r="337" s="4" customFormat="1" ht="33" customHeight="1" spans="1:12">
      <c r="A337" s="10">
        <v>334</v>
      </c>
      <c r="B337" s="10" t="str">
        <f>"付廷宽"</f>
        <v>付廷宽</v>
      </c>
      <c r="C337" s="10" t="str">
        <f>"男        "</f>
        <v>男        </v>
      </c>
      <c r="D337" s="10" t="str">
        <f>"汉族"</f>
        <v>汉族</v>
      </c>
      <c r="E337" s="10" t="str">
        <f>"贵州省兴仁县民建乡新房子村南路一组"</f>
        <v>贵州省兴仁县民建乡新房子村南路一组</v>
      </c>
      <c r="F337" s="10" t="str">
        <f t="shared" si="37"/>
        <v>小学</v>
      </c>
      <c r="G337" s="10" t="str">
        <f t="shared" si="39"/>
        <v>102:语文</v>
      </c>
      <c r="H337" s="10" t="s">
        <v>24</v>
      </c>
      <c r="I337" s="15" t="s">
        <v>43</v>
      </c>
      <c r="J337" s="26">
        <v>82.58</v>
      </c>
      <c r="K337" s="24">
        <v>5</v>
      </c>
      <c r="L337" s="16"/>
    </row>
    <row r="338" s="4" customFormat="1" ht="33" customHeight="1" spans="1:12">
      <c r="A338" s="10">
        <v>335</v>
      </c>
      <c r="B338" s="10" t="str">
        <f>"吴贤泽"</f>
        <v>吴贤泽</v>
      </c>
      <c r="C338" s="10" t="str">
        <f>"男        "</f>
        <v>男        </v>
      </c>
      <c r="D338" s="10" t="str">
        <f>"汉族"</f>
        <v>汉族</v>
      </c>
      <c r="E338" s="10" t="str">
        <f>"云南省昭通市威信县高田乡马家弯头村民小组35号"</f>
        <v>云南省昭通市威信县高田乡马家弯头村民小组35号</v>
      </c>
      <c r="F338" s="10" t="str">
        <f t="shared" si="37"/>
        <v>小学</v>
      </c>
      <c r="G338" s="10" t="str">
        <f t="shared" si="39"/>
        <v>102:语文</v>
      </c>
      <c r="H338" s="10" t="s">
        <v>24</v>
      </c>
      <c r="I338" s="15" t="s">
        <v>43</v>
      </c>
      <c r="J338" s="26">
        <v>80.06</v>
      </c>
      <c r="K338" s="24">
        <v>6</v>
      </c>
      <c r="L338" s="16"/>
    </row>
    <row r="339" s="4" customFormat="1" ht="33" customHeight="1" spans="1:12">
      <c r="A339" s="10">
        <v>336</v>
      </c>
      <c r="B339" s="10" t="str">
        <f>"巴晓米"</f>
        <v>巴晓米</v>
      </c>
      <c r="C339" s="10" t="str">
        <f>"女        "</f>
        <v>女        </v>
      </c>
      <c r="D339" s="10" t="str">
        <f>"汉族"</f>
        <v>汉族</v>
      </c>
      <c r="E339" s="10" t="str">
        <f>"云南省曲靖市罗平县长底乡石盆水村委会斗阳村"</f>
        <v>云南省曲靖市罗平县长底乡石盆水村委会斗阳村</v>
      </c>
      <c r="F339" s="10" t="str">
        <f t="shared" ref="F339:F370" si="40">"小学"</f>
        <v>小学</v>
      </c>
      <c r="G339" s="10" t="str">
        <f t="shared" si="39"/>
        <v>102:语文</v>
      </c>
      <c r="H339" s="10" t="s">
        <v>24</v>
      </c>
      <c r="I339" s="15" t="s">
        <v>43</v>
      </c>
      <c r="J339" s="26">
        <v>79.96</v>
      </c>
      <c r="K339" s="24">
        <v>7</v>
      </c>
      <c r="L339" s="16"/>
    </row>
    <row r="340" s="4" customFormat="1" ht="33" customHeight="1" spans="1:12">
      <c r="A340" s="10">
        <v>337</v>
      </c>
      <c r="B340" s="10" t="str">
        <f>"梁梦洁"</f>
        <v>梁梦洁</v>
      </c>
      <c r="C340" s="10" t="str">
        <f>"女        "</f>
        <v>女        </v>
      </c>
      <c r="D340" s="10" t="str">
        <f>"壮族"</f>
        <v>壮族</v>
      </c>
      <c r="E340" s="10" t="str">
        <f>"广西隆林各族自治县岩茶乡岩茶村桥头四队01号"</f>
        <v>广西隆林各族自治县岩茶乡岩茶村桥头四队01号</v>
      </c>
      <c r="F340" s="10" t="str">
        <f t="shared" si="40"/>
        <v>小学</v>
      </c>
      <c r="G340" s="10" t="str">
        <f t="shared" si="39"/>
        <v>102:语文</v>
      </c>
      <c r="H340" s="10" t="s">
        <v>24</v>
      </c>
      <c r="I340" s="15" t="s">
        <v>43</v>
      </c>
      <c r="J340" s="26">
        <v>79.6</v>
      </c>
      <c r="K340" s="24">
        <v>8</v>
      </c>
      <c r="L340" s="16"/>
    </row>
    <row r="341" s="4" customFormat="1" ht="33" customHeight="1" spans="1:12">
      <c r="A341" s="10">
        <v>338</v>
      </c>
      <c r="B341" s="10" t="str">
        <f>"李金玉"</f>
        <v>李金玉</v>
      </c>
      <c r="C341" s="10" t="str">
        <f>"女        "</f>
        <v>女        </v>
      </c>
      <c r="D341" s="10" t="str">
        <f>"壮族"</f>
        <v>壮族</v>
      </c>
      <c r="E341" s="10" t="str">
        <f>"云南省文山州广南县底圩乡叮当村委会中里呐小组"</f>
        <v>云南省文山州广南县底圩乡叮当村委会中里呐小组</v>
      </c>
      <c r="F341" s="10" t="str">
        <f t="shared" si="40"/>
        <v>小学</v>
      </c>
      <c r="G341" s="10" t="str">
        <f t="shared" si="39"/>
        <v>102:语文</v>
      </c>
      <c r="H341" s="10" t="s">
        <v>24</v>
      </c>
      <c r="I341" s="15" t="s">
        <v>43</v>
      </c>
      <c r="J341" s="26">
        <v>77.5</v>
      </c>
      <c r="K341" s="24">
        <v>9</v>
      </c>
      <c r="L341" s="16"/>
    </row>
    <row r="342" s="4" customFormat="1" ht="33" customHeight="1" spans="1:12">
      <c r="A342" s="10">
        <v>339</v>
      </c>
      <c r="B342" s="10" t="str">
        <f>"简才英"</f>
        <v>简才英</v>
      </c>
      <c r="C342" s="10" t="str">
        <f>"女        "</f>
        <v>女        </v>
      </c>
      <c r="D342" s="10" t="str">
        <f>"侗族"</f>
        <v>侗族</v>
      </c>
      <c r="E342" s="10" t="str">
        <f>"贵州省望谟县新屯镇竹山村竹山组"</f>
        <v>贵州省望谟县新屯镇竹山村竹山组</v>
      </c>
      <c r="F342" s="10" t="str">
        <f t="shared" si="40"/>
        <v>小学</v>
      </c>
      <c r="G342" s="10" t="str">
        <f t="shared" si="39"/>
        <v>102:语文</v>
      </c>
      <c r="H342" s="10" t="s">
        <v>24</v>
      </c>
      <c r="I342" s="15" t="s">
        <v>43</v>
      </c>
      <c r="J342" s="26">
        <v>77</v>
      </c>
      <c r="K342" s="24">
        <v>10</v>
      </c>
      <c r="L342" s="16"/>
    </row>
    <row r="343" s="4" customFormat="1" ht="33" customHeight="1" spans="1:12">
      <c r="A343" s="10">
        <v>340</v>
      </c>
      <c r="B343" s="10" t="str">
        <f>"喻泽胜"</f>
        <v>喻泽胜</v>
      </c>
      <c r="C343" s="10" t="str">
        <f>"男        "</f>
        <v>男        </v>
      </c>
      <c r="D343" s="10" t="str">
        <f>"彝族"</f>
        <v>彝族</v>
      </c>
      <c r="E343" s="10" t="str">
        <f>"贵州省织金县白泥乡喻家坝村大田组"</f>
        <v>贵州省织金县白泥乡喻家坝村大田组</v>
      </c>
      <c r="F343" s="10" t="str">
        <f t="shared" si="40"/>
        <v>小学</v>
      </c>
      <c r="G343" s="10" t="str">
        <f t="shared" si="39"/>
        <v>102:语文</v>
      </c>
      <c r="H343" s="10" t="s">
        <v>24</v>
      </c>
      <c r="I343" s="15" t="s">
        <v>43</v>
      </c>
      <c r="J343" s="26">
        <v>73.34</v>
      </c>
      <c r="K343" s="24">
        <v>11</v>
      </c>
      <c r="L343" s="16"/>
    </row>
    <row r="344" s="4" customFormat="1" ht="33" customHeight="1" spans="1:12">
      <c r="A344" s="10">
        <v>341</v>
      </c>
      <c r="B344" s="10" t="str">
        <f>"李素丽"</f>
        <v>李素丽</v>
      </c>
      <c r="C344" s="10" t="str">
        <f>"女        "</f>
        <v>女        </v>
      </c>
      <c r="D344" s="10" t="str">
        <f>"壮族"</f>
        <v>壮族</v>
      </c>
      <c r="E344" s="10" t="str">
        <f>"广西百色市隆林各族自治县克长乡海长村一屯"</f>
        <v>广西百色市隆林各族自治县克长乡海长村一屯</v>
      </c>
      <c r="F344" s="10" t="str">
        <f t="shared" si="40"/>
        <v>小学</v>
      </c>
      <c r="G344" s="10" t="str">
        <f t="shared" si="39"/>
        <v>102:语文</v>
      </c>
      <c r="H344" s="10" t="s">
        <v>24</v>
      </c>
      <c r="I344" s="15" t="s">
        <v>43</v>
      </c>
      <c r="J344" s="26">
        <v>71.44</v>
      </c>
      <c r="K344" s="24">
        <v>12</v>
      </c>
      <c r="L344" s="16"/>
    </row>
    <row r="345" s="4" customFormat="1" ht="33" customHeight="1" spans="1:12">
      <c r="A345" s="10">
        <v>342</v>
      </c>
      <c r="B345" s="10" t="str">
        <f>"王明海"</f>
        <v>王明海</v>
      </c>
      <c r="C345" s="10" t="str">
        <f>"男        "</f>
        <v>男        </v>
      </c>
      <c r="D345" s="10" t="str">
        <f>"苗族"</f>
        <v>苗族</v>
      </c>
      <c r="E345" s="10" t="str">
        <f>"广西百色市隆林各族自治县者浪乡么窝村肯么屯007号"</f>
        <v>广西百色市隆林各族自治县者浪乡么窝村肯么屯007号</v>
      </c>
      <c r="F345" s="10" t="str">
        <f t="shared" si="40"/>
        <v>小学</v>
      </c>
      <c r="G345" s="10" t="str">
        <f t="shared" si="39"/>
        <v>102:语文</v>
      </c>
      <c r="H345" s="10" t="s">
        <v>24</v>
      </c>
      <c r="I345" s="15" t="s">
        <v>43</v>
      </c>
      <c r="J345" s="26">
        <v>64.9</v>
      </c>
      <c r="K345" s="24">
        <v>13</v>
      </c>
      <c r="L345" s="16"/>
    </row>
    <row r="346" s="4" customFormat="1" ht="33" customHeight="1" spans="1:12">
      <c r="A346" s="10">
        <v>343</v>
      </c>
      <c r="B346" s="10" t="str">
        <f>"梁雅姿"</f>
        <v>梁雅姿</v>
      </c>
      <c r="C346" s="10" t="str">
        <f>"女        "</f>
        <v>女        </v>
      </c>
      <c r="D346" s="10" t="str">
        <f>"壮族"</f>
        <v>壮族</v>
      </c>
      <c r="E346" s="10" t="str">
        <f>"广西省隆林县岩茶乡岩茶村2队"</f>
        <v>广西省隆林县岩茶乡岩茶村2队</v>
      </c>
      <c r="F346" s="10" t="str">
        <f t="shared" si="40"/>
        <v>小学</v>
      </c>
      <c r="G346" s="10" t="str">
        <f t="shared" si="39"/>
        <v>102:语文</v>
      </c>
      <c r="H346" s="10" t="s">
        <v>24</v>
      </c>
      <c r="I346" s="15" t="s">
        <v>43</v>
      </c>
      <c r="J346" s="27" t="s">
        <v>18</v>
      </c>
      <c r="K346" s="24">
        <v>14</v>
      </c>
      <c r="L346" s="16"/>
    </row>
    <row r="347" s="4" customFormat="1" ht="33" customHeight="1" spans="1:12">
      <c r="A347" s="10">
        <v>344</v>
      </c>
      <c r="B347" s="10" t="str">
        <f>"王定想"</f>
        <v>王定想</v>
      </c>
      <c r="C347" s="10" t="str">
        <f>"男        "</f>
        <v>男        </v>
      </c>
      <c r="D347" s="10" t="str">
        <f>"壮族"</f>
        <v>壮族</v>
      </c>
      <c r="E347" s="10" t="str">
        <f>"广西省百色市隆林县幸福花园"</f>
        <v>广西省百色市隆林县幸福花园</v>
      </c>
      <c r="F347" s="10" t="str">
        <f t="shared" si="40"/>
        <v>小学</v>
      </c>
      <c r="G347" s="10" t="str">
        <f t="shared" si="39"/>
        <v>102:语文</v>
      </c>
      <c r="H347" s="10" t="s">
        <v>41</v>
      </c>
      <c r="I347" s="10" t="s">
        <v>45</v>
      </c>
      <c r="J347" s="13">
        <v>89.67</v>
      </c>
      <c r="K347" s="22">
        <v>1</v>
      </c>
      <c r="L347" s="16" t="s">
        <v>15</v>
      </c>
    </row>
    <row r="348" s="4" customFormat="1" ht="33" customHeight="1" spans="1:12">
      <c r="A348" s="10">
        <v>345</v>
      </c>
      <c r="B348" s="10" t="str">
        <f>"李关萍"</f>
        <v>李关萍</v>
      </c>
      <c r="C348" s="10" t="str">
        <f t="shared" ref="C348:C356" si="41">"女        "</f>
        <v>女        </v>
      </c>
      <c r="D348" s="10" t="str">
        <f>"汉族"</f>
        <v>汉族</v>
      </c>
      <c r="E348" s="10" t="str">
        <f>"云南省曲靖市罗平县长底乡"</f>
        <v>云南省曲靖市罗平县长底乡</v>
      </c>
      <c r="F348" s="10" t="str">
        <f t="shared" si="40"/>
        <v>小学</v>
      </c>
      <c r="G348" s="10" t="str">
        <f t="shared" si="39"/>
        <v>102:语文</v>
      </c>
      <c r="H348" s="10" t="s">
        <v>41</v>
      </c>
      <c r="I348" s="10" t="s">
        <v>45</v>
      </c>
      <c r="J348" s="13">
        <v>88.86</v>
      </c>
      <c r="K348" s="22">
        <v>2</v>
      </c>
      <c r="L348" s="16" t="s">
        <v>15</v>
      </c>
    </row>
    <row r="349" s="4" customFormat="1" ht="33" customHeight="1" spans="1:12">
      <c r="A349" s="10">
        <v>346</v>
      </c>
      <c r="B349" s="10" t="str">
        <f>"赵乙徽"</f>
        <v>赵乙徽</v>
      </c>
      <c r="C349" s="10" t="str">
        <f t="shared" si="41"/>
        <v>女        </v>
      </c>
      <c r="D349" s="10" t="str">
        <f>"汉族"</f>
        <v>汉族</v>
      </c>
      <c r="E349" s="10" t="str">
        <f>""</f>
        <v/>
      </c>
      <c r="F349" s="10" t="str">
        <f t="shared" si="40"/>
        <v>小学</v>
      </c>
      <c r="G349" s="10" t="str">
        <f t="shared" si="39"/>
        <v>102:语文</v>
      </c>
      <c r="H349" s="10" t="s">
        <v>41</v>
      </c>
      <c r="I349" s="10" t="s">
        <v>45</v>
      </c>
      <c r="J349" s="13">
        <v>87.84</v>
      </c>
      <c r="K349" s="24">
        <v>3</v>
      </c>
      <c r="L349" s="16"/>
    </row>
    <row r="350" s="4" customFormat="1" ht="33" customHeight="1" spans="1:12">
      <c r="A350" s="10">
        <v>347</v>
      </c>
      <c r="B350" s="10" t="str">
        <f>"许倩"</f>
        <v>许倩</v>
      </c>
      <c r="C350" s="10" t="str">
        <f t="shared" si="41"/>
        <v>女        </v>
      </c>
      <c r="D350" s="10" t="str">
        <f>"汉族"</f>
        <v>汉族</v>
      </c>
      <c r="E350" s="10" t="str">
        <f>"广西百色隆林各族自治县隆或镇沙保村沙保屯"</f>
        <v>广西百色隆林各族自治县隆或镇沙保村沙保屯</v>
      </c>
      <c r="F350" s="10" t="str">
        <f t="shared" si="40"/>
        <v>小学</v>
      </c>
      <c r="G350" s="10" t="str">
        <f t="shared" si="39"/>
        <v>102:语文</v>
      </c>
      <c r="H350" s="10" t="s">
        <v>41</v>
      </c>
      <c r="I350" s="10" t="s">
        <v>45</v>
      </c>
      <c r="J350" s="13">
        <v>87.76</v>
      </c>
      <c r="K350" s="24">
        <v>4</v>
      </c>
      <c r="L350" s="16"/>
    </row>
    <row r="351" s="4" customFormat="1" ht="33" customHeight="1" spans="1:12">
      <c r="A351" s="10">
        <v>348</v>
      </c>
      <c r="B351" s="10" t="str">
        <f>"赵勤香"</f>
        <v>赵勤香</v>
      </c>
      <c r="C351" s="10" t="str">
        <f t="shared" si="41"/>
        <v>女        </v>
      </c>
      <c r="D351" s="10" t="str">
        <f>"壮族"</f>
        <v>壮族</v>
      </c>
      <c r="E351" s="10" t="str">
        <f>"广西百色市西林县马蚌镇马麻村下寨屯"</f>
        <v>广西百色市西林县马蚌镇马麻村下寨屯</v>
      </c>
      <c r="F351" s="10" t="str">
        <f t="shared" si="40"/>
        <v>小学</v>
      </c>
      <c r="G351" s="10" t="str">
        <f t="shared" ref="G351:G382" si="42">"102:语文"</f>
        <v>102:语文</v>
      </c>
      <c r="H351" s="10" t="s">
        <v>41</v>
      </c>
      <c r="I351" s="10" t="s">
        <v>45</v>
      </c>
      <c r="J351" s="13">
        <v>87.02</v>
      </c>
      <c r="K351" s="24">
        <v>5</v>
      </c>
      <c r="L351" s="16"/>
    </row>
    <row r="352" s="4" customFormat="1" ht="33" customHeight="1" spans="1:12">
      <c r="A352" s="10">
        <v>349</v>
      </c>
      <c r="B352" s="10" t="str">
        <f>"黄丽梅"</f>
        <v>黄丽梅</v>
      </c>
      <c r="C352" s="10" t="str">
        <f t="shared" si="41"/>
        <v>女        </v>
      </c>
      <c r="D352" s="10" t="str">
        <f>"壮族"</f>
        <v>壮族</v>
      </c>
      <c r="E352" s="10" t="str">
        <f>"广西隆林县天生桥镇委果村九腾屯"</f>
        <v>广西隆林县天生桥镇委果村九腾屯</v>
      </c>
      <c r="F352" s="10" t="str">
        <f t="shared" si="40"/>
        <v>小学</v>
      </c>
      <c r="G352" s="10" t="str">
        <f t="shared" si="42"/>
        <v>102:语文</v>
      </c>
      <c r="H352" s="10" t="s">
        <v>41</v>
      </c>
      <c r="I352" s="10" t="s">
        <v>45</v>
      </c>
      <c r="J352" s="13">
        <v>86.88</v>
      </c>
      <c r="K352" s="24">
        <v>6</v>
      </c>
      <c r="L352" s="16"/>
    </row>
    <row r="353" s="4" customFormat="1" ht="33" customHeight="1" spans="1:12">
      <c r="A353" s="10">
        <v>350</v>
      </c>
      <c r="B353" s="10" t="str">
        <f>"冯明星"</f>
        <v>冯明星</v>
      </c>
      <c r="C353" s="10" t="str">
        <f t="shared" si="41"/>
        <v>女        </v>
      </c>
      <c r="D353" s="10" t="str">
        <f>"汉族"</f>
        <v>汉族</v>
      </c>
      <c r="E353" s="10" t="str">
        <f>"云南省文山州广南县珠街镇老卧村"</f>
        <v>云南省文山州广南县珠街镇老卧村</v>
      </c>
      <c r="F353" s="10" t="str">
        <f t="shared" si="40"/>
        <v>小学</v>
      </c>
      <c r="G353" s="10" t="str">
        <f t="shared" si="42"/>
        <v>102:语文</v>
      </c>
      <c r="H353" s="10" t="s">
        <v>41</v>
      </c>
      <c r="I353" s="10" t="s">
        <v>45</v>
      </c>
      <c r="J353" s="13">
        <v>86.26</v>
      </c>
      <c r="K353" s="24">
        <v>7</v>
      </c>
      <c r="L353" s="16"/>
    </row>
    <row r="354" s="4" customFormat="1" ht="33" customHeight="1" spans="1:12">
      <c r="A354" s="10">
        <v>351</v>
      </c>
      <c r="B354" s="10" t="str">
        <f>"字忠慧"</f>
        <v>字忠慧</v>
      </c>
      <c r="C354" s="10" t="str">
        <f t="shared" si="41"/>
        <v>女        </v>
      </c>
      <c r="D354" s="10" t="str">
        <f>"彝族"</f>
        <v>彝族</v>
      </c>
      <c r="E354" s="10" t="str">
        <f>"云南省大理白族自治州南涧县公郎镇底么村委会四联村"</f>
        <v>云南省大理白族自治州南涧县公郎镇底么村委会四联村</v>
      </c>
      <c r="F354" s="10" t="str">
        <f t="shared" si="40"/>
        <v>小学</v>
      </c>
      <c r="G354" s="10" t="str">
        <f t="shared" si="42"/>
        <v>102:语文</v>
      </c>
      <c r="H354" s="10" t="s">
        <v>41</v>
      </c>
      <c r="I354" s="10" t="s">
        <v>45</v>
      </c>
      <c r="J354" s="13">
        <v>85.66</v>
      </c>
      <c r="K354" s="24">
        <v>8</v>
      </c>
      <c r="L354" s="16"/>
    </row>
    <row r="355" s="4" customFormat="1" ht="33" customHeight="1" spans="1:12">
      <c r="A355" s="10">
        <v>352</v>
      </c>
      <c r="B355" s="10" t="str">
        <f>"崔艳"</f>
        <v>崔艳</v>
      </c>
      <c r="C355" s="10" t="str">
        <f t="shared" si="41"/>
        <v>女        </v>
      </c>
      <c r="D355" s="10" t="str">
        <f>"汉族"</f>
        <v>汉族</v>
      </c>
      <c r="E355" s="10" t="str">
        <f>"贵州省兴仁县新龙场镇"</f>
        <v>贵州省兴仁县新龙场镇</v>
      </c>
      <c r="F355" s="10" t="str">
        <f t="shared" si="40"/>
        <v>小学</v>
      </c>
      <c r="G355" s="10" t="str">
        <f t="shared" si="42"/>
        <v>102:语文</v>
      </c>
      <c r="H355" s="10" t="s">
        <v>41</v>
      </c>
      <c r="I355" s="10" t="s">
        <v>45</v>
      </c>
      <c r="J355" s="13">
        <v>85.56</v>
      </c>
      <c r="K355" s="24">
        <v>9</v>
      </c>
      <c r="L355" s="16"/>
    </row>
    <row r="356" s="4" customFormat="1" ht="33" customHeight="1" spans="1:12">
      <c r="A356" s="10">
        <v>353</v>
      </c>
      <c r="B356" s="10" t="str">
        <f>"王丽丽"</f>
        <v>王丽丽</v>
      </c>
      <c r="C356" s="10" t="str">
        <f t="shared" si="41"/>
        <v>女        </v>
      </c>
      <c r="D356" s="10" t="str">
        <f>"苗族"</f>
        <v>苗族</v>
      </c>
      <c r="E356" s="10" t="str">
        <f>"广西隆林各族自治县猪场乡那伟村龙保山屯11号"</f>
        <v>广西隆林各族自治县猪场乡那伟村龙保山屯11号</v>
      </c>
      <c r="F356" s="10" t="str">
        <f t="shared" si="40"/>
        <v>小学</v>
      </c>
      <c r="G356" s="10" t="str">
        <f t="shared" si="42"/>
        <v>102:语文</v>
      </c>
      <c r="H356" s="10" t="s">
        <v>41</v>
      </c>
      <c r="I356" s="10" t="s">
        <v>45</v>
      </c>
      <c r="J356" s="13">
        <v>85.44</v>
      </c>
      <c r="K356" s="24">
        <v>10</v>
      </c>
      <c r="L356" s="16"/>
    </row>
    <row r="357" s="4" customFormat="1" ht="33" customHeight="1" spans="1:12">
      <c r="A357" s="10">
        <v>354</v>
      </c>
      <c r="B357" s="10" t="str">
        <f>"王志明"</f>
        <v>王志明</v>
      </c>
      <c r="C357" s="10" t="str">
        <f>"男        "</f>
        <v>男        </v>
      </c>
      <c r="D357" s="10" t="str">
        <f>"苗族"</f>
        <v>苗族</v>
      </c>
      <c r="E357" s="10" t="str">
        <f>"广西百色市隆林县猪场乡猪场村仁盘屯29号"</f>
        <v>广西百色市隆林县猪场乡猪场村仁盘屯29号</v>
      </c>
      <c r="F357" s="10" t="str">
        <f t="shared" si="40"/>
        <v>小学</v>
      </c>
      <c r="G357" s="10" t="str">
        <f t="shared" si="42"/>
        <v>102:语文</v>
      </c>
      <c r="H357" s="10" t="s">
        <v>41</v>
      </c>
      <c r="I357" s="10" t="s">
        <v>45</v>
      </c>
      <c r="J357" s="13">
        <v>85.32</v>
      </c>
      <c r="K357" s="24">
        <v>11</v>
      </c>
      <c r="L357" s="16"/>
    </row>
    <row r="358" s="4" customFormat="1" ht="33" customHeight="1" spans="1:12">
      <c r="A358" s="10">
        <v>355</v>
      </c>
      <c r="B358" s="10" t="str">
        <f>"王亚巧"</f>
        <v>王亚巧</v>
      </c>
      <c r="C358" s="10" t="str">
        <f>"女        "</f>
        <v>女        </v>
      </c>
      <c r="D358" s="10" t="str">
        <f>"壮族"</f>
        <v>壮族</v>
      </c>
      <c r="E358" s="10" t="str">
        <f>"广西隆林各族自治县天生桥镇祥播村三社010号"</f>
        <v>广西隆林各族自治县天生桥镇祥播村三社010号</v>
      </c>
      <c r="F358" s="10" t="str">
        <f t="shared" si="40"/>
        <v>小学</v>
      </c>
      <c r="G358" s="10" t="str">
        <f t="shared" si="42"/>
        <v>102:语文</v>
      </c>
      <c r="H358" s="10" t="s">
        <v>41</v>
      </c>
      <c r="I358" s="10" t="s">
        <v>45</v>
      </c>
      <c r="J358" s="13">
        <v>84.98</v>
      </c>
      <c r="K358" s="24">
        <v>12</v>
      </c>
      <c r="L358" s="16"/>
    </row>
    <row r="359" s="4" customFormat="1" ht="33" customHeight="1" spans="1:12">
      <c r="A359" s="10">
        <v>356</v>
      </c>
      <c r="B359" s="10" t="str">
        <f>"唐银昌"</f>
        <v>唐银昌</v>
      </c>
      <c r="C359" s="10" t="str">
        <f>"男        "</f>
        <v>男        </v>
      </c>
      <c r="D359" s="10" t="str">
        <f>"汉族"</f>
        <v>汉族</v>
      </c>
      <c r="E359" s="10" t="str">
        <f>"贵州省望谟县新屯镇唐家坪村绞啥组21号"</f>
        <v>贵州省望谟县新屯镇唐家坪村绞啥组21号</v>
      </c>
      <c r="F359" s="10" t="str">
        <f t="shared" si="40"/>
        <v>小学</v>
      </c>
      <c r="G359" s="10" t="str">
        <f t="shared" si="42"/>
        <v>102:语文</v>
      </c>
      <c r="H359" s="10" t="s">
        <v>41</v>
      </c>
      <c r="I359" s="10" t="s">
        <v>45</v>
      </c>
      <c r="J359" s="13">
        <v>84</v>
      </c>
      <c r="K359" s="24">
        <v>13</v>
      </c>
      <c r="L359" s="16"/>
    </row>
    <row r="360" s="4" customFormat="1" ht="33" customHeight="1" spans="1:12">
      <c r="A360" s="10">
        <v>357</v>
      </c>
      <c r="B360" s="10" t="str">
        <f>"杨刚"</f>
        <v>杨刚</v>
      </c>
      <c r="C360" s="10" t="str">
        <f>"男        "</f>
        <v>男        </v>
      </c>
      <c r="D360" s="10" t="str">
        <f>"汉族"</f>
        <v>汉族</v>
      </c>
      <c r="E360" s="10" t="str">
        <f>"贵州省望谟县麻山乡岜丛村岜丛组"</f>
        <v>贵州省望谟县麻山乡岜丛村岜丛组</v>
      </c>
      <c r="F360" s="10" t="str">
        <f t="shared" si="40"/>
        <v>小学</v>
      </c>
      <c r="G360" s="10" t="str">
        <f t="shared" si="42"/>
        <v>102:语文</v>
      </c>
      <c r="H360" s="10" t="s">
        <v>41</v>
      </c>
      <c r="I360" s="10" t="s">
        <v>45</v>
      </c>
      <c r="J360" s="13">
        <v>83.98</v>
      </c>
      <c r="K360" s="24">
        <v>14</v>
      </c>
      <c r="L360" s="16"/>
    </row>
    <row r="361" s="4" customFormat="1" ht="33" customHeight="1" spans="1:12">
      <c r="A361" s="10">
        <v>358</v>
      </c>
      <c r="B361" s="10" t="str">
        <f>"刘恩丙"</f>
        <v>刘恩丙</v>
      </c>
      <c r="C361" s="10" t="str">
        <f>"男        "</f>
        <v>男        </v>
      </c>
      <c r="D361" s="10" t="str">
        <f>"汉族"</f>
        <v>汉族</v>
      </c>
      <c r="E361" s="10" t="str">
        <f>"云南省宣威市双河乡大桥村木戛村委会"</f>
        <v>云南省宣威市双河乡大桥村木戛村委会</v>
      </c>
      <c r="F361" s="10" t="str">
        <f t="shared" si="40"/>
        <v>小学</v>
      </c>
      <c r="G361" s="10" t="str">
        <f t="shared" si="42"/>
        <v>102:语文</v>
      </c>
      <c r="H361" s="10" t="s">
        <v>41</v>
      </c>
      <c r="I361" s="10" t="s">
        <v>45</v>
      </c>
      <c r="J361" s="13">
        <v>83.46</v>
      </c>
      <c r="K361" s="24">
        <v>15</v>
      </c>
      <c r="L361" s="16"/>
    </row>
    <row r="362" s="4" customFormat="1" ht="33" customHeight="1" spans="1:12">
      <c r="A362" s="10">
        <v>359</v>
      </c>
      <c r="B362" s="10" t="str">
        <f>"崔从花"</f>
        <v>崔从花</v>
      </c>
      <c r="C362" s="10" t="str">
        <f t="shared" ref="C362:C367" si="43">"女        "</f>
        <v>女        </v>
      </c>
      <c r="D362" s="10" t="str">
        <f>"汉族"</f>
        <v>汉族</v>
      </c>
      <c r="E362" s="10" t="str">
        <f>""</f>
        <v/>
      </c>
      <c r="F362" s="10" t="str">
        <f t="shared" si="40"/>
        <v>小学</v>
      </c>
      <c r="G362" s="10" t="str">
        <f t="shared" si="42"/>
        <v>102:语文</v>
      </c>
      <c r="H362" s="10" t="s">
        <v>41</v>
      </c>
      <c r="I362" s="10" t="s">
        <v>45</v>
      </c>
      <c r="J362" s="13">
        <v>83.44</v>
      </c>
      <c r="K362" s="24">
        <v>16</v>
      </c>
      <c r="L362" s="16"/>
    </row>
    <row r="363" s="4" customFormat="1" ht="33" customHeight="1" spans="1:12">
      <c r="A363" s="10">
        <v>360</v>
      </c>
      <c r="B363" s="10" t="str">
        <f>"王庭芮"</f>
        <v>王庭芮</v>
      </c>
      <c r="C363" s="10" t="str">
        <f t="shared" si="43"/>
        <v>女        </v>
      </c>
      <c r="D363" s="10" t="str">
        <f>"壮族"</f>
        <v>壮族</v>
      </c>
      <c r="E363" s="10" t="str">
        <f>"广西百色市隆林各族自治县新州镇民生社区民生街236号"</f>
        <v>广西百色市隆林各族自治县新州镇民生社区民生街236号</v>
      </c>
      <c r="F363" s="10" t="str">
        <f t="shared" si="40"/>
        <v>小学</v>
      </c>
      <c r="G363" s="10" t="str">
        <f t="shared" si="42"/>
        <v>102:语文</v>
      </c>
      <c r="H363" s="10" t="s">
        <v>41</v>
      </c>
      <c r="I363" s="10" t="s">
        <v>45</v>
      </c>
      <c r="J363" s="13">
        <v>82.46</v>
      </c>
      <c r="K363" s="24">
        <v>17</v>
      </c>
      <c r="L363" s="16"/>
    </row>
    <row r="364" s="4" customFormat="1" ht="33" customHeight="1" spans="1:12">
      <c r="A364" s="10">
        <v>361</v>
      </c>
      <c r="B364" s="10" t="str">
        <f>"王封梅"</f>
        <v>王封梅</v>
      </c>
      <c r="C364" s="10" t="str">
        <f t="shared" si="43"/>
        <v>女        </v>
      </c>
      <c r="D364" s="10" t="str">
        <f>"布依族"</f>
        <v>布依族</v>
      </c>
      <c r="E364" s="10" t="str">
        <f>"贵州省望谟县新屯镇纳包村一组"</f>
        <v>贵州省望谟县新屯镇纳包村一组</v>
      </c>
      <c r="F364" s="10" t="str">
        <f t="shared" si="40"/>
        <v>小学</v>
      </c>
      <c r="G364" s="10" t="str">
        <f t="shared" si="42"/>
        <v>102:语文</v>
      </c>
      <c r="H364" s="10" t="s">
        <v>41</v>
      </c>
      <c r="I364" s="10" t="s">
        <v>45</v>
      </c>
      <c r="J364" s="13">
        <v>80.3</v>
      </c>
      <c r="K364" s="24">
        <v>18</v>
      </c>
      <c r="L364" s="16"/>
    </row>
    <row r="365" s="4" customFormat="1" ht="33" customHeight="1" spans="1:12">
      <c r="A365" s="10">
        <v>362</v>
      </c>
      <c r="B365" s="10" t="str">
        <f>"王玉香"</f>
        <v>王玉香</v>
      </c>
      <c r="C365" s="10" t="str">
        <f t="shared" si="43"/>
        <v>女        </v>
      </c>
      <c r="D365" s="10" t="str">
        <f>"汉族"</f>
        <v>汉族</v>
      </c>
      <c r="E365" s="10" t="str">
        <f>"云南省曲靖市罗平县钟山乡细戈村委会窑口子村"</f>
        <v>云南省曲靖市罗平县钟山乡细戈村委会窑口子村</v>
      </c>
      <c r="F365" s="10" t="str">
        <f t="shared" si="40"/>
        <v>小学</v>
      </c>
      <c r="G365" s="10" t="str">
        <f t="shared" si="42"/>
        <v>102:语文</v>
      </c>
      <c r="H365" s="10" t="s">
        <v>41</v>
      </c>
      <c r="I365" s="10" t="s">
        <v>45</v>
      </c>
      <c r="J365" s="13">
        <v>78.54</v>
      </c>
      <c r="K365" s="24">
        <v>19</v>
      </c>
      <c r="L365" s="16"/>
    </row>
    <row r="366" s="4" customFormat="1" ht="33" customHeight="1" spans="1:12">
      <c r="A366" s="10">
        <v>363</v>
      </c>
      <c r="B366" s="10" t="str">
        <f>"欧阳慧"</f>
        <v>欧阳慧</v>
      </c>
      <c r="C366" s="10" t="str">
        <f t="shared" si="43"/>
        <v>女        </v>
      </c>
      <c r="D366" s="10" t="str">
        <f>"壮族"</f>
        <v>壮族</v>
      </c>
      <c r="E366" s="10" t="str">
        <f>"广西隆林各族自治县猪场乡那伟村那伟社91号"</f>
        <v>广西隆林各族自治县猪场乡那伟村那伟社91号</v>
      </c>
      <c r="F366" s="10" t="str">
        <f t="shared" si="40"/>
        <v>小学</v>
      </c>
      <c r="G366" s="10" t="str">
        <f t="shared" si="42"/>
        <v>102:语文</v>
      </c>
      <c r="H366" s="10" t="s">
        <v>41</v>
      </c>
      <c r="I366" s="10" t="s">
        <v>45</v>
      </c>
      <c r="J366" s="13">
        <v>78.4</v>
      </c>
      <c r="K366" s="24">
        <v>20</v>
      </c>
      <c r="L366" s="16"/>
    </row>
    <row r="367" s="4" customFormat="1" ht="33" customHeight="1" spans="1:12">
      <c r="A367" s="10">
        <v>364</v>
      </c>
      <c r="B367" s="10" t="str">
        <f>"何秋杉"</f>
        <v>何秋杉</v>
      </c>
      <c r="C367" s="10" t="str">
        <f t="shared" si="43"/>
        <v>女        </v>
      </c>
      <c r="D367" s="10" t="str">
        <f>"壮族"</f>
        <v>壮族</v>
      </c>
      <c r="E367" s="10" t="str">
        <f>"广西西林县那佐苗族乡弄合村081号"</f>
        <v>广西西林县那佐苗族乡弄合村081号</v>
      </c>
      <c r="F367" s="10" t="str">
        <f t="shared" si="40"/>
        <v>小学</v>
      </c>
      <c r="G367" s="10" t="str">
        <f t="shared" si="42"/>
        <v>102:语文</v>
      </c>
      <c r="H367" s="10" t="s">
        <v>41</v>
      </c>
      <c r="I367" s="10" t="s">
        <v>45</v>
      </c>
      <c r="J367" s="13">
        <v>78.12</v>
      </c>
      <c r="K367" s="24">
        <v>21</v>
      </c>
      <c r="L367" s="16"/>
    </row>
    <row r="368" s="4" customFormat="1" ht="33" customHeight="1" spans="1:12">
      <c r="A368" s="10">
        <v>365</v>
      </c>
      <c r="B368" s="10" t="str">
        <f>"朱海"</f>
        <v>朱海</v>
      </c>
      <c r="C368" s="10" t="str">
        <f>"男        "</f>
        <v>男        </v>
      </c>
      <c r="D368" s="10" t="str">
        <f>"汉族"</f>
        <v>汉族</v>
      </c>
      <c r="E368" s="10" t="str">
        <f>"贵州省兴仁县下山镇三角山村三角山一组"</f>
        <v>贵州省兴仁县下山镇三角山村三角山一组</v>
      </c>
      <c r="F368" s="10" t="str">
        <f t="shared" si="40"/>
        <v>小学</v>
      </c>
      <c r="G368" s="10" t="str">
        <f t="shared" si="42"/>
        <v>102:语文</v>
      </c>
      <c r="H368" s="10" t="s">
        <v>41</v>
      </c>
      <c r="I368" s="10" t="s">
        <v>45</v>
      </c>
      <c r="J368" s="13">
        <v>76.56</v>
      </c>
      <c r="K368" s="24">
        <v>22</v>
      </c>
      <c r="L368" s="16"/>
    </row>
    <row r="369" s="4" customFormat="1" ht="33" customHeight="1" spans="1:12">
      <c r="A369" s="10">
        <v>366</v>
      </c>
      <c r="B369" s="10" t="str">
        <f>"农芳丽"</f>
        <v>农芳丽</v>
      </c>
      <c r="C369" s="10" t="str">
        <f t="shared" ref="C369:C374" si="44">"女        "</f>
        <v>女        </v>
      </c>
      <c r="D369" s="10" t="str">
        <f>"壮族"</f>
        <v>壮族</v>
      </c>
      <c r="E369" s="10" t="str">
        <f>"广西西林县八达镇那卡村平那屯009号"</f>
        <v>广西西林县八达镇那卡村平那屯009号</v>
      </c>
      <c r="F369" s="10" t="str">
        <f t="shared" si="40"/>
        <v>小学</v>
      </c>
      <c r="G369" s="10" t="str">
        <f t="shared" si="42"/>
        <v>102:语文</v>
      </c>
      <c r="H369" s="10" t="s">
        <v>41</v>
      </c>
      <c r="I369" s="10" t="s">
        <v>45</v>
      </c>
      <c r="J369" s="13">
        <v>74.78</v>
      </c>
      <c r="K369" s="24">
        <v>23</v>
      </c>
      <c r="L369" s="16"/>
    </row>
    <row r="370" s="4" customFormat="1" ht="33" customHeight="1" spans="1:12">
      <c r="A370" s="10">
        <v>367</v>
      </c>
      <c r="B370" s="10" t="str">
        <f>"罗顺毫"</f>
        <v>罗顺毫</v>
      </c>
      <c r="C370" s="10" t="str">
        <f t="shared" si="44"/>
        <v>女        </v>
      </c>
      <c r="D370" s="10" t="str">
        <f>"布依族"</f>
        <v>布依族</v>
      </c>
      <c r="E370" s="10" t="str">
        <f>"贵州省望谟县油迈乡巧路村打上组"</f>
        <v>贵州省望谟县油迈乡巧路村打上组</v>
      </c>
      <c r="F370" s="10" t="str">
        <f t="shared" si="40"/>
        <v>小学</v>
      </c>
      <c r="G370" s="10" t="str">
        <f t="shared" si="42"/>
        <v>102:语文</v>
      </c>
      <c r="H370" s="10" t="s">
        <v>41</v>
      </c>
      <c r="I370" s="10" t="s">
        <v>45</v>
      </c>
      <c r="J370" s="13">
        <v>71.72</v>
      </c>
      <c r="K370" s="24">
        <v>24</v>
      </c>
      <c r="L370" s="16"/>
    </row>
    <row r="371" s="4" customFormat="1" ht="33" customHeight="1" spans="1:12">
      <c r="A371" s="10">
        <v>368</v>
      </c>
      <c r="B371" s="10" t="str">
        <f>"梁楠"</f>
        <v>梁楠</v>
      </c>
      <c r="C371" s="10" t="str">
        <f t="shared" si="44"/>
        <v>女        </v>
      </c>
      <c r="D371" s="10" t="str">
        <f>"壮族"</f>
        <v>壮族</v>
      </c>
      <c r="E371" s="10" t="str">
        <f>"隆林各族自治县新交警队旁"</f>
        <v>隆林各族自治县新交警队旁</v>
      </c>
      <c r="F371" s="10" t="str">
        <f t="shared" ref="F371:F402" si="45">"小学"</f>
        <v>小学</v>
      </c>
      <c r="G371" s="10" t="str">
        <f t="shared" si="42"/>
        <v>102:语文</v>
      </c>
      <c r="H371" s="10" t="s">
        <v>41</v>
      </c>
      <c r="I371" s="10" t="s">
        <v>45</v>
      </c>
      <c r="J371" s="13">
        <v>71.62</v>
      </c>
      <c r="K371" s="24">
        <v>25</v>
      </c>
      <c r="L371" s="16"/>
    </row>
    <row r="372" s="4" customFormat="1" ht="33" customHeight="1" spans="1:12">
      <c r="A372" s="10">
        <v>369</v>
      </c>
      <c r="B372" s="10" t="str">
        <f>"黄家敏"</f>
        <v>黄家敏</v>
      </c>
      <c r="C372" s="10" t="str">
        <f t="shared" si="44"/>
        <v>女        </v>
      </c>
      <c r="D372" s="10" t="str">
        <f>"布依族"</f>
        <v>布依族</v>
      </c>
      <c r="E372" s="10" t="str">
        <f>"贵州省望谟县大观乡上伏开村三组"</f>
        <v>贵州省望谟县大观乡上伏开村三组</v>
      </c>
      <c r="F372" s="10" t="str">
        <f t="shared" si="45"/>
        <v>小学</v>
      </c>
      <c r="G372" s="10" t="str">
        <f t="shared" si="42"/>
        <v>102:语文</v>
      </c>
      <c r="H372" s="10" t="s">
        <v>41</v>
      </c>
      <c r="I372" s="10" t="s">
        <v>45</v>
      </c>
      <c r="J372" s="13">
        <v>67.46</v>
      </c>
      <c r="K372" s="24">
        <v>26</v>
      </c>
      <c r="L372" s="16"/>
    </row>
    <row r="373" s="4" customFormat="1" ht="33" customHeight="1" spans="1:12">
      <c r="A373" s="10">
        <v>370</v>
      </c>
      <c r="B373" s="10" t="str">
        <f>"蒲永莉"</f>
        <v>蒲永莉</v>
      </c>
      <c r="C373" s="10" t="str">
        <f t="shared" si="44"/>
        <v>女        </v>
      </c>
      <c r="D373" s="10" t="str">
        <f>"汉族"</f>
        <v>汉族</v>
      </c>
      <c r="E373" s="10" t="str">
        <f>"广西省百色市隆林县聚宝家园"</f>
        <v>广西省百色市隆林县聚宝家园</v>
      </c>
      <c r="F373" s="10" t="str">
        <f t="shared" si="45"/>
        <v>小学</v>
      </c>
      <c r="G373" s="10" t="str">
        <f t="shared" si="42"/>
        <v>102:语文</v>
      </c>
      <c r="H373" s="10" t="s">
        <v>41</v>
      </c>
      <c r="I373" s="10" t="s">
        <v>45</v>
      </c>
      <c r="J373" s="17" t="s">
        <v>18</v>
      </c>
      <c r="K373" s="24">
        <v>27</v>
      </c>
      <c r="L373" s="16"/>
    </row>
    <row r="374" s="4" customFormat="1" ht="33" customHeight="1" spans="1:12">
      <c r="A374" s="10">
        <v>371</v>
      </c>
      <c r="B374" s="10" t="str">
        <f>"谢媛婷"</f>
        <v>谢媛婷</v>
      </c>
      <c r="C374" s="10" t="str">
        <f t="shared" si="44"/>
        <v>女        </v>
      </c>
      <c r="D374" s="10" t="str">
        <f>"汉族"</f>
        <v>汉族</v>
      </c>
      <c r="E374" s="10" t="str">
        <f>"云南省曲靖市陆良县三岔河镇大坝村121号"</f>
        <v>云南省曲靖市陆良县三岔河镇大坝村121号</v>
      </c>
      <c r="F374" s="10" t="str">
        <f t="shared" si="45"/>
        <v>小学</v>
      </c>
      <c r="G374" s="10" t="str">
        <f t="shared" si="42"/>
        <v>102:语文</v>
      </c>
      <c r="H374" s="10" t="s">
        <v>41</v>
      </c>
      <c r="I374" s="10" t="s">
        <v>45</v>
      </c>
      <c r="J374" s="17" t="s">
        <v>18</v>
      </c>
      <c r="K374" s="24">
        <v>28</v>
      </c>
      <c r="L374" s="16"/>
    </row>
    <row r="375" s="4" customFormat="1" ht="33" customHeight="1" spans="1:12">
      <c r="A375" s="10">
        <v>372</v>
      </c>
      <c r="B375" s="10" t="str">
        <f>"车华培"</f>
        <v>车华培</v>
      </c>
      <c r="C375" s="10" t="str">
        <f>"男        "</f>
        <v>男        </v>
      </c>
      <c r="D375" s="10" t="str">
        <f>"汉族"</f>
        <v>汉族</v>
      </c>
      <c r="E375" s="10" t="str">
        <f>"云南砚山县八嘎乡"</f>
        <v>云南砚山县八嘎乡</v>
      </c>
      <c r="F375" s="10" t="str">
        <f t="shared" si="45"/>
        <v>小学</v>
      </c>
      <c r="G375" s="10" t="str">
        <f t="shared" si="42"/>
        <v>102:语文</v>
      </c>
      <c r="H375" s="10" t="s">
        <v>39</v>
      </c>
      <c r="I375" s="10" t="s">
        <v>46</v>
      </c>
      <c r="J375" s="13">
        <v>87.4</v>
      </c>
      <c r="K375" s="14">
        <v>1</v>
      </c>
      <c r="L375" s="16" t="s">
        <v>15</v>
      </c>
    </row>
    <row r="376" s="4" customFormat="1" ht="33" customHeight="1" spans="1:12">
      <c r="A376" s="10">
        <v>373</v>
      </c>
      <c r="B376" s="10" t="str">
        <f>"吕娜"</f>
        <v>吕娜</v>
      </c>
      <c r="C376" s="10" t="str">
        <f>"女        "</f>
        <v>女        </v>
      </c>
      <c r="D376" s="10" t="str">
        <f>"汉族"</f>
        <v>汉族</v>
      </c>
      <c r="E376" s="10" t="str">
        <f>"云南省曲靖市麒麟区珠街乡青龙上村"</f>
        <v>云南省曲靖市麒麟区珠街乡青龙上村</v>
      </c>
      <c r="F376" s="10" t="str">
        <f t="shared" si="45"/>
        <v>小学</v>
      </c>
      <c r="G376" s="10" t="str">
        <f t="shared" si="42"/>
        <v>102:语文</v>
      </c>
      <c r="H376" s="10" t="s">
        <v>39</v>
      </c>
      <c r="I376" s="10" t="s">
        <v>46</v>
      </c>
      <c r="J376" s="13">
        <v>86.2</v>
      </c>
      <c r="K376" s="14">
        <v>2</v>
      </c>
      <c r="L376" s="16" t="s">
        <v>15</v>
      </c>
    </row>
    <row r="377" s="4" customFormat="1" ht="33" customHeight="1" spans="1:12">
      <c r="A377" s="10">
        <v>374</v>
      </c>
      <c r="B377" s="10" t="str">
        <f>"杨翔"</f>
        <v>杨翔</v>
      </c>
      <c r="C377" s="10" t="str">
        <f>"男        "</f>
        <v>男        </v>
      </c>
      <c r="D377" s="10" t="str">
        <f>"苗族"</f>
        <v>苗族</v>
      </c>
      <c r="E377" s="10" t="str">
        <f>"广西百色隆林县德峨乡常么村坡脚屯"</f>
        <v>广西百色隆林县德峨乡常么村坡脚屯</v>
      </c>
      <c r="F377" s="10" t="str">
        <f t="shared" si="45"/>
        <v>小学</v>
      </c>
      <c r="G377" s="10" t="str">
        <f t="shared" si="42"/>
        <v>102:语文</v>
      </c>
      <c r="H377" s="10" t="s">
        <v>39</v>
      </c>
      <c r="I377" s="10" t="s">
        <v>46</v>
      </c>
      <c r="J377" s="13">
        <v>85.8</v>
      </c>
      <c r="K377" s="10">
        <v>3</v>
      </c>
      <c r="L377" s="16"/>
    </row>
    <row r="378" s="4" customFormat="1" ht="33" customHeight="1" spans="1:12">
      <c r="A378" s="10">
        <v>375</v>
      </c>
      <c r="B378" s="10" t="str">
        <f>"李祥"</f>
        <v>李祥</v>
      </c>
      <c r="C378" s="10" t="str">
        <f>"男        "</f>
        <v>男        </v>
      </c>
      <c r="D378" s="10" t="str">
        <f>"汉族"</f>
        <v>汉族</v>
      </c>
      <c r="E378" s="10" t="str">
        <f>"云南省曲靖市富源县富村镇块择村委会下尖山村"</f>
        <v>云南省曲靖市富源县富村镇块择村委会下尖山村</v>
      </c>
      <c r="F378" s="10" t="str">
        <f t="shared" si="45"/>
        <v>小学</v>
      </c>
      <c r="G378" s="10" t="str">
        <f t="shared" si="42"/>
        <v>102:语文</v>
      </c>
      <c r="H378" s="10" t="s">
        <v>39</v>
      </c>
      <c r="I378" s="10" t="s">
        <v>46</v>
      </c>
      <c r="J378" s="13">
        <v>85.4</v>
      </c>
      <c r="K378" s="10">
        <v>4</v>
      </c>
      <c r="L378" s="16"/>
    </row>
    <row r="379" s="4" customFormat="1" ht="33" customHeight="1" spans="1:12">
      <c r="A379" s="10">
        <v>376</v>
      </c>
      <c r="B379" s="10" t="str">
        <f>"卢烨璇"</f>
        <v>卢烨璇</v>
      </c>
      <c r="C379" s="10" t="str">
        <f>"女        "</f>
        <v>女        </v>
      </c>
      <c r="D379" s="10" t="str">
        <f>"汉族"</f>
        <v>汉族</v>
      </c>
      <c r="E379" s="10" t="str">
        <f>"广西百色市隆林各族自治县隆或镇伟岭村大田屯"</f>
        <v>广西百色市隆林各族自治县隆或镇伟岭村大田屯</v>
      </c>
      <c r="F379" s="10" t="str">
        <f t="shared" si="45"/>
        <v>小学</v>
      </c>
      <c r="G379" s="10" t="str">
        <f t="shared" si="42"/>
        <v>102:语文</v>
      </c>
      <c r="H379" s="10" t="s">
        <v>39</v>
      </c>
      <c r="I379" s="10" t="s">
        <v>46</v>
      </c>
      <c r="J379" s="13">
        <v>85.2</v>
      </c>
      <c r="K379" s="10">
        <v>5</v>
      </c>
      <c r="L379" s="16"/>
    </row>
    <row r="380" s="4" customFormat="1" ht="33" customHeight="1" spans="1:12">
      <c r="A380" s="10">
        <v>377</v>
      </c>
      <c r="B380" s="10" t="str">
        <f>"陈丽"</f>
        <v>陈丽</v>
      </c>
      <c r="C380" s="10" t="str">
        <f>"女        "</f>
        <v>女        </v>
      </c>
      <c r="D380" s="10" t="str">
        <f>"汉族"</f>
        <v>汉族</v>
      </c>
      <c r="E380" s="10" t="str">
        <f>"贵州省黔西南布依族苗族自治州兴仁县东湖社区科教路"</f>
        <v>贵州省黔西南布依族苗族自治州兴仁县东湖社区科教路</v>
      </c>
      <c r="F380" s="10" t="str">
        <f t="shared" si="45"/>
        <v>小学</v>
      </c>
      <c r="G380" s="10" t="str">
        <f t="shared" si="42"/>
        <v>102:语文</v>
      </c>
      <c r="H380" s="10" t="s">
        <v>39</v>
      </c>
      <c r="I380" s="10" t="s">
        <v>46</v>
      </c>
      <c r="J380" s="13">
        <v>85</v>
      </c>
      <c r="K380" s="10">
        <v>6</v>
      </c>
      <c r="L380" s="16"/>
    </row>
    <row r="381" s="4" customFormat="1" ht="33" customHeight="1" spans="1:12">
      <c r="A381" s="10">
        <v>378</v>
      </c>
      <c r="B381" s="10" t="str">
        <f>"李先虎"</f>
        <v>李先虎</v>
      </c>
      <c r="C381" s="10" t="str">
        <f>"男        "</f>
        <v>男        </v>
      </c>
      <c r="D381" s="10" t="str">
        <f>"苗族"</f>
        <v>苗族</v>
      </c>
      <c r="E381" s="10" t="str">
        <f>"贵州省纳雍县昆寨乡大寨村下寨组"</f>
        <v>贵州省纳雍县昆寨乡大寨村下寨组</v>
      </c>
      <c r="F381" s="10" t="str">
        <f t="shared" si="45"/>
        <v>小学</v>
      </c>
      <c r="G381" s="10" t="str">
        <f t="shared" si="42"/>
        <v>102:语文</v>
      </c>
      <c r="H381" s="10" t="s">
        <v>39</v>
      </c>
      <c r="I381" s="10" t="s">
        <v>46</v>
      </c>
      <c r="J381" s="13">
        <v>84</v>
      </c>
      <c r="K381" s="10">
        <v>7</v>
      </c>
      <c r="L381" s="16"/>
    </row>
    <row r="382" s="4" customFormat="1" ht="33" customHeight="1" spans="1:12">
      <c r="A382" s="10">
        <v>379</v>
      </c>
      <c r="B382" s="10" t="str">
        <f>"黎喜美"</f>
        <v>黎喜美</v>
      </c>
      <c r="C382" s="10" t="str">
        <f>"女        "</f>
        <v>女        </v>
      </c>
      <c r="D382" s="10" t="str">
        <f>"布依族"</f>
        <v>布依族</v>
      </c>
      <c r="E382" s="10" t="str">
        <f>"贵州省望谟县新屯镇纳包村打便组"</f>
        <v>贵州省望谟县新屯镇纳包村打便组</v>
      </c>
      <c r="F382" s="10" t="str">
        <f t="shared" si="45"/>
        <v>小学</v>
      </c>
      <c r="G382" s="10" t="str">
        <f t="shared" si="42"/>
        <v>102:语文</v>
      </c>
      <c r="H382" s="10" t="s">
        <v>39</v>
      </c>
      <c r="I382" s="10" t="s">
        <v>46</v>
      </c>
      <c r="J382" s="13">
        <v>83.2</v>
      </c>
      <c r="K382" s="10">
        <v>8</v>
      </c>
      <c r="L382" s="16"/>
    </row>
    <row r="383" s="4" customFormat="1" ht="33" customHeight="1" spans="1:12">
      <c r="A383" s="10">
        <v>380</v>
      </c>
      <c r="B383" s="10" t="str">
        <f>"罗善祥"</f>
        <v>罗善祥</v>
      </c>
      <c r="C383" s="10" t="str">
        <f>"男        "</f>
        <v>男        </v>
      </c>
      <c r="D383" s="10" t="str">
        <f>"壮族"</f>
        <v>壮族</v>
      </c>
      <c r="E383" s="10" t="str">
        <f>"广西隆林各族自治县沙梨乡委尧村岩蚌屯18号"</f>
        <v>广西隆林各族自治县沙梨乡委尧村岩蚌屯18号</v>
      </c>
      <c r="F383" s="10" t="str">
        <f t="shared" si="45"/>
        <v>小学</v>
      </c>
      <c r="G383" s="10" t="str">
        <f t="shared" ref="G383:G414" si="46">"102:语文"</f>
        <v>102:语文</v>
      </c>
      <c r="H383" s="10" t="s">
        <v>39</v>
      </c>
      <c r="I383" s="10" t="s">
        <v>46</v>
      </c>
      <c r="J383" s="13">
        <v>83.2</v>
      </c>
      <c r="K383" s="10">
        <v>9</v>
      </c>
      <c r="L383" s="16"/>
    </row>
    <row r="384" s="4" customFormat="1" ht="33" customHeight="1" spans="1:12">
      <c r="A384" s="10">
        <v>381</v>
      </c>
      <c r="B384" s="10" t="str">
        <f>"李芮芮"</f>
        <v>李芮芮</v>
      </c>
      <c r="C384" s="10" t="str">
        <f>"男        "</f>
        <v>男        </v>
      </c>
      <c r="D384" s="10" t="str">
        <f>"回族"</f>
        <v>回族</v>
      </c>
      <c r="E384" s="10" t="str">
        <f>""</f>
        <v/>
      </c>
      <c r="F384" s="10" t="str">
        <f t="shared" si="45"/>
        <v>小学</v>
      </c>
      <c r="G384" s="10" t="str">
        <f t="shared" si="46"/>
        <v>102:语文</v>
      </c>
      <c r="H384" s="10" t="s">
        <v>39</v>
      </c>
      <c r="I384" s="10" t="s">
        <v>46</v>
      </c>
      <c r="J384" s="13">
        <v>82.4</v>
      </c>
      <c r="K384" s="10">
        <v>10</v>
      </c>
      <c r="L384" s="16"/>
    </row>
    <row r="385" s="4" customFormat="1" ht="33" customHeight="1" spans="1:12">
      <c r="A385" s="10">
        <v>382</v>
      </c>
      <c r="B385" s="10" t="str">
        <f>"邓燕"</f>
        <v>邓燕</v>
      </c>
      <c r="C385" s="10" t="str">
        <f>"女        "</f>
        <v>女        </v>
      </c>
      <c r="D385" s="10" t="str">
        <f>"汉族"</f>
        <v>汉族</v>
      </c>
      <c r="E385" s="10" t="str">
        <f>"云南省曲靖市富源县富村镇祖德村委会大对门村18号"</f>
        <v>云南省曲靖市富源县富村镇祖德村委会大对门村18号</v>
      </c>
      <c r="F385" s="10" t="str">
        <f t="shared" si="45"/>
        <v>小学</v>
      </c>
      <c r="G385" s="10" t="str">
        <f t="shared" si="46"/>
        <v>102:语文</v>
      </c>
      <c r="H385" s="10" t="s">
        <v>39</v>
      </c>
      <c r="I385" s="10" t="s">
        <v>46</v>
      </c>
      <c r="J385" s="13">
        <v>81.8</v>
      </c>
      <c r="K385" s="10">
        <v>11</v>
      </c>
      <c r="L385" s="16"/>
    </row>
    <row r="386" s="4" customFormat="1" ht="33" customHeight="1" spans="1:12">
      <c r="A386" s="10">
        <v>383</v>
      </c>
      <c r="B386" s="10" t="str">
        <f>"苏学友"</f>
        <v>苏学友</v>
      </c>
      <c r="C386" s="10" t="str">
        <f>"男        "</f>
        <v>男        </v>
      </c>
      <c r="D386" s="10" t="str">
        <f>"汉族"</f>
        <v>汉族</v>
      </c>
      <c r="E386" s="10" t="str">
        <f>"云南省曲靖市罗平县老厂乡马米村"</f>
        <v>云南省曲靖市罗平县老厂乡马米村</v>
      </c>
      <c r="F386" s="10" t="str">
        <f t="shared" si="45"/>
        <v>小学</v>
      </c>
      <c r="G386" s="10" t="str">
        <f t="shared" si="46"/>
        <v>102:语文</v>
      </c>
      <c r="H386" s="10" t="s">
        <v>39</v>
      </c>
      <c r="I386" s="10" t="s">
        <v>46</v>
      </c>
      <c r="J386" s="13">
        <v>81</v>
      </c>
      <c r="K386" s="10">
        <v>12</v>
      </c>
      <c r="L386" s="16"/>
    </row>
    <row r="387" s="4" customFormat="1" ht="33" customHeight="1" spans="1:12">
      <c r="A387" s="10">
        <v>384</v>
      </c>
      <c r="B387" s="10" t="str">
        <f>"杨小妹"</f>
        <v>杨小妹</v>
      </c>
      <c r="C387" s="10" t="str">
        <f>"女        "</f>
        <v>女        </v>
      </c>
      <c r="D387" s="10" t="str">
        <f>"苗族"</f>
        <v>苗族</v>
      </c>
      <c r="E387" s="10" t="str">
        <f>"广西百色市隆林县德峨镇常么村龙那屯19号"</f>
        <v>广西百色市隆林县德峨镇常么村龙那屯19号</v>
      </c>
      <c r="F387" s="10" t="str">
        <f t="shared" si="45"/>
        <v>小学</v>
      </c>
      <c r="G387" s="10" t="str">
        <f t="shared" si="46"/>
        <v>102:语文</v>
      </c>
      <c r="H387" s="10" t="s">
        <v>39</v>
      </c>
      <c r="I387" s="10" t="s">
        <v>46</v>
      </c>
      <c r="J387" s="13">
        <v>78.8</v>
      </c>
      <c r="K387" s="10">
        <v>13</v>
      </c>
      <c r="L387" s="16"/>
    </row>
    <row r="388" s="4" customFormat="1" ht="33" customHeight="1" spans="1:12">
      <c r="A388" s="10">
        <v>385</v>
      </c>
      <c r="B388" s="10" t="str">
        <f>"段雪娟"</f>
        <v>段雪娟</v>
      </c>
      <c r="C388" s="10" t="str">
        <f>"女        "</f>
        <v>女        </v>
      </c>
      <c r="D388" s="10" t="str">
        <f>"汉族"</f>
        <v>汉族</v>
      </c>
      <c r="E388" s="10" t="str">
        <f>"云南省曲靖市陆良县三岔河镇刘良村委会小垢甸村60号"</f>
        <v>云南省曲靖市陆良县三岔河镇刘良村委会小垢甸村60号</v>
      </c>
      <c r="F388" s="10" t="str">
        <f t="shared" si="45"/>
        <v>小学</v>
      </c>
      <c r="G388" s="10" t="str">
        <f t="shared" si="46"/>
        <v>102:语文</v>
      </c>
      <c r="H388" s="10" t="s">
        <v>39</v>
      </c>
      <c r="I388" s="10" t="s">
        <v>46</v>
      </c>
      <c r="J388" s="13">
        <v>77.2</v>
      </c>
      <c r="K388" s="10">
        <v>14</v>
      </c>
      <c r="L388" s="16"/>
    </row>
    <row r="389" s="4" customFormat="1" ht="33" customHeight="1" spans="1:12">
      <c r="A389" s="10">
        <v>386</v>
      </c>
      <c r="B389" s="10" t="str">
        <f>"黄庭凤"</f>
        <v>黄庭凤</v>
      </c>
      <c r="C389" s="10" t="str">
        <f>"女        "</f>
        <v>女        </v>
      </c>
      <c r="D389" s="10" t="str">
        <f>"布依族"</f>
        <v>布依族</v>
      </c>
      <c r="E389" s="10" t="str">
        <f>"贵州省望谟县油迈乡打寒村一组"</f>
        <v>贵州省望谟县油迈乡打寒村一组</v>
      </c>
      <c r="F389" s="10" t="str">
        <f t="shared" si="45"/>
        <v>小学</v>
      </c>
      <c r="G389" s="10" t="str">
        <f t="shared" si="46"/>
        <v>102:语文</v>
      </c>
      <c r="H389" s="10" t="s">
        <v>39</v>
      </c>
      <c r="I389" s="10" t="s">
        <v>46</v>
      </c>
      <c r="J389" s="13">
        <v>70.2</v>
      </c>
      <c r="K389" s="10">
        <v>15</v>
      </c>
      <c r="L389" s="16"/>
    </row>
    <row r="390" s="4" customFormat="1" ht="33" customHeight="1" spans="1:12">
      <c r="A390" s="10">
        <v>387</v>
      </c>
      <c r="B390" s="10" t="str">
        <f>"罗青云"</f>
        <v>罗青云</v>
      </c>
      <c r="C390" s="10" t="str">
        <f>"女        "</f>
        <v>女        </v>
      </c>
      <c r="D390" s="10" t="str">
        <f>"汉族"</f>
        <v>汉族</v>
      </c>
      <c r="E390" s="10" t="str">
        <f>"云南省曲靖市富源县富村镇白石岩村委会大寨子村"</f>
        <v>云南省曲靖市富源县富村镇白石岩村委会大寨子村</v>
      </c>
      <c r="F390" s="10" t="str">
        <f t="shared" si="45"/>
        <v>小学</v>
      </c>
      <c r="G390" s="10" t="str">
        <f t="shared" si="46"/>
        <v>102:语文</v>
      </c>
      <c r="H390" s="10" t="s">
        <v>39</v>
      </c>
      <c r="I390" s="10" t="s">
        <v>46</v>
      </c>
      <c r="J390" s="13">
        <v>69.4</v>
      </c>
      <c r="K390" s="10">
        <v>16</v>
      </c>
      <c r="L390" s="16"/>
    </row>
    <row r="391" s="4" customFormat="1" ht="33" customHeight="1" spans="1:12">
      <c r="A391" s="10">
        <v>388</v>
      </c>
      <c r="B391" s="10" t="str">
        <f>"杨丽芳"</f>
        <v>杨丽芳</v>
      </c>
      <c r="C391" s="10" t="str">
        <f>"女        "</f>
        <v>女        </v>
      </c>
      <c r="D391" s="10" t="str">
        <f>"彝族"</f>
        <v>彝族</v>
      </c>
      <c r="E391" s="10" t="str">
        <f>"云南省红河州开远市碑格乡奋途村23号"</f>
        <v>云南省红河州开远市碑格乡奋途村23号</v>
      </c>
      <c r="F391" s="10" t="str">
        <f t="shared" si="45"/>
        <v>小学</v>
      </c>
      <c r="G391" s="10" t="str">
        <f t="shared" si="46"/>
        <v>102:语文</v>
      </c>
      <c r="H391" s="10" t="s">
        <v>39</v>
      </c>
      <c r="I391" s="10" t="s">
        <v>46</v>
      </c>
      <c r="J391" s="17" t="s">
        <v>18</v>
      </c>
      <c r="K391" s="10">
        <v>17</v>
      </c>
      <c r="L391" s="16"/>
    </row>
    <row r="392" s="4" customFormat="1" ht="33" customHeight="1" spans="1:12">
      <c r="A392" s="10">
        <v>389</v>
      </c>
      <c r="B392" s="10" t="str">
        <f>"黄详"</f>
        <v>黄详</v>
      </c>
      <c r="C392" s="10" t="str">
        <f>"男        "</f>
        <v>男        </v>
      </c>
      <c r="D392" s="10" t="str">
        <f>"汉族"</f>
        <v>汉族</v>
      </c>
      <c r="E392" s="10" t="str">
        <f>"贵州省赫章县辅处乡葛布村双河组"</f>
        <v>贵州省赫章县辅处乡葛布村双河组</v>
      </c>
      <c r="F392" s="10" t="str">
        <f t="shared" si="45"/>
        <v>小学</v>
      </c>
      <c r="G392" s="10" t="str">
        <f t="shared" si="46"/>
        <v>102:语文</v>
      </c>
      <c r="H392" s="10" t="s">
        <v>39</v>
      </c>
      <c r="I392" s="10" t="s">
        <v>46</v>
      </c>
      <c r="J392" s="17" t="s">
        <v>18</v>
      </c>
      <c r="K392" s="10">
        <v>18</v>
      </c>
      <c r="L392" s="16"/>
    </row>
    <row r="393" s="4" customFormat="1" ht="33" customHeight="1" spans="1:12">
      <c r="A393" s="10">
        <v>390</v>
      </c>
      <c r="B393" s="10" t="str">
        <f>"张美旭"</f>
        <v>张美旭</v>
      </c>
      <c r="C393" s="10" t="str">
        <f>"男        "</f>
        <v>男        </v>
      </c>
      <c r="D393" s="10" t="str">
        <f>"汉族"</f>
        <v>汉族</v>
      </c>
      <c r="E393" s="10" t="str">
        <f>"贵州省兴义市"</f>
        <v>贵州省兴义市</v>
      </c>
      <c r="F393" s="10" t="str">
        <f t="shared" si="45"/>
        <v>小学</v>
      </c>
      <c r="G393" s="10" t="str">
        <f t="shared" si="46"/>
        <v>102:语文</v>
      </c>
      <c r="H393" s="10" t="s">
        <v>39</v>
      </c>
      <c r="I393" s="10" t="s">
        <v>46</v>
      </c>
      <c r="J393" s="17" t="s">
        <v>18</v>
      </c>
      <c r="K393" s="10">
        <v>19</v>
      </c>
      <c r="L393" s="16"/>
    </row>
    <row r="394" s="4" customFormat="1" ht="33" customHeight="1" spans="1:12">
      <c r="A394" s="10">
        <v>391</v>
      </c>
      <c r="B394" s="10" t="str">
        <f>"黄永娟"</f>
        <v>黄永娟</v>
      </c>
      <c r="C394" s="10" t="str">
        <f t="shared" ref="C394:C400" si="47">"女        "</f>
        <v>女        </v>
      </c>
      <c r="D394" s="10" t="str">
        <f>"布依族"</f>
        <v>布依族</v>
      </c>
      <c r="E394" s="10" t="str">
        <f>"贵州省册亨县八渡镇伟主村伟主组50"</f>
        <v>贵州省册亨县八渡镇伟主村伟主组50</v>
      </c>
      <c r="F394" s="10" t="str">
        <f t="shared" si="45"/>
        <v>小学</v>
      </c>
      <c r="G394" s="10" t="str">
        <f t="shared" si="46"/>
        <v>102:语文</v>
      </c>
      <c r="H394" s="10" t="s">
        <v>39</v>
      </c>
      <c r="I394" s="10" t="s">
        <v>46</v>
      </c>
      <c r="J394" s="17" t="s">
        <v>18</v>
      </c>
      <c r="K394" s="10">
        <v>20</v>
      </c>
      <c r="L394" s="16"/>
    </row>
    <row r="395" s="4" customFormat="1" ht="33" customHeight="1" spans="1:12">
      <c r="A395" s="10">
        <v>392</v>
      </c>
      <c r="B395" s="10" t="str">
        <f>"余胜雪"</f>
        <v>余胜雪</v>
      </c>
      <c r="C395" s="10" t="str">
        <f t="shared" si="47"/>
        <v>女        </v>
      </c>
      <c r="D395" s="10" t="str">
        <f>"汉族"</f>
        <v>汉族</v>
      </c>
      <c r="E395" s="10" t="str">
        <f>"云南省曲靖市罗平县南门前21号"</f>
        <v>云南省曲靖市罗平县南门前21号</v>
      </c>
      <c r="F395" s="10" t="str">
        <f t="shared" si="45"/>
        <v>小学</v>
      </c>
      <c r="G395" s="10" t="str">
        <f t="shared" si="46"/>
        <v>102:语文</v>
      </c>
      <c r="H395" s="10" t="s">
        <v>19</v>
      </c>
      <c r="I395" s="10" t="s">
        <v>47</v>
      </c>
      <c r="J395" s="13">
        <v>87.6</v>
      </c>
      <c r="K395" s="14">
        <v>1</v>
      </c>
      <c r="L395" s="16" t="s">
        <v>15</v>
      </c>
    </row>
    <row r="396" s="4" customFormat="1" ht="33" customHeight="1" spans="1:12">
      <c r="A396" s="10">
        <v>393</v>
      </c>
      <c r="B396" s="10" t="str">
        <f>"陆莉"</f>
        <v>陆莉</v>
      </c>
      <c r="C396" s="10" t="str">
        <f t="shared" si="47"/>
        <v>女        </v>
      </c>
      <c r="D396" s="10" t="str">
        <f>"壮族"</f>
        <v>壮族</v>
      </c>
      <c r="E396" s="10" t="str">
        <f>"广西隆林各族自治县新州镇民族社区民族路292号"</f>
        <v>广西隆林各族自治县新州镇民族社区民族路292号</v>
      </c>
      <c r="F396" s="10" t="str">
        <f t="shared" si="45"/>
        <v>小学</v>
      </c>
      <c r="G396" s="10" t="str">
        <f t="shared" si="46"/>
        <v>102:语文</v>
      </c>
      <c r="H396" s="10" t="s">
        <v>19</v>
      </c>
      <c r="I396" s="10" t="s">
        <v>47</v>
      </c>
      <c r="J396" s="13">
        <v>87.6</v>
      </c>
      <c r="K396" s="14">
        <v>2</v>
      </c>
      <c r="L396" s="16" t="s">
        <v>15</v>
      </c>
    </row>
    <row r="397" s="4" customFormat="1" ht="33" customHeight="1" spans="1:12">
      <c r="A397" s="10">
        <v>394</v>
      </c>
      <c r="B397" s="10" t="str">
        <f>"李春"</f>
        <v>李春</v>
      </c>
      <c r="C397" s="10" t="str">
        <f t="shared" si="47"/>
        <v>女        </v>
      </c>
      <c r="D397" s="10" t="str">
        <f>"苗族"</f>
        <v>苗族</v>
      </c>
      <c r="E397" s="10" t="str">
        <f>"广西百色市隆林各族自治县德峨镇夏家湾村马河屯"</f>
        <v>广西百色市隆林各族自治县德峨镇夏家湾村马河屯</v>
      </c>
      <c r="F397" s="10" t="str">
        <f t="shared" si="45"/>
        <v>小学</v>
      </c>
      <c r="G397" s="10" t="str">
        <f t="shared" si="46"/>
        <v>102:语文</v>
      </c>
      <c r="H397" s="10" t="s">
        <v>19</v>
      </c>
      <c r="I397" s="10" t="s">
        <v>47</v>
      </c>
      <c r="J397" s="13">
        <v>86.92</v>
      </c>
      <c r="K397" s="10">
        <v>3</v>
      </c>
      <c r="L397" s="16"/>
    </row>
    <row r="398" s="4" customFormat="1" ht="33" customHeight="1" spans="1:12">
      <c r="A398" s="10">
        <v>395</v>
      </c>
      <c r="B398" s="10" t="str">
        <f>"李汉楠"</f>
        <v>李汉楠</v>
      </c>
      <c r="C398" s="10" t="str">
        <f t="shared" si="47"/>
        <v>女        </v>
      </c>
      <c r="D398" s="10" t="str">
        <f>"汉族"</f>
        <v>汉族</v>
      </c>
      <c r="E398" s="10" t="str">
        <f>""</f>
        <v/>
      </c>
      <c r="F398" s="10" t="str">
        <f t="shared" si="45"/>
        <v>小学</v>
      </c>
      <c r="G398" s="10" t="str">
        <f t="shared" si="46"/>
        <v>102:语文</v>
      </c>
      <c r="H398" s="10" t="s">
        <v>19</v>
      </c>
      <c r="I398" s="10" t="s">
        <v>47</v>
      </c>
      <c r="J398" s="13">
        <v>85.78</v>
      </c>
      <c r="K398" s="10">
        <v>4</v>
      </c>
      <c r="L398" s="16"/>
    </row>
    <row r="399" s="4" customFormat="1" ht="33" customHeight="1" spans="1:12">
      <c r="A399" s="10">
        <v>396</v>
      </c>
      <c r="B399" s="10" t="str">
        <f>"朱崇欢"</f>
        <v>朱崇欢</v>
      </c>
      <c r="C399" s="10" t="str">
        <f t="shared" si="47"/>
        <v>女        </v>
      </c>
      <c r="D399" s="10" t="str">
        <f>"布依族"</f>
        <v>布依族</v>
      </c>
      <c r="E399" s="10" t="str">
        <f>"贵州省都匀市摆忙乡坪阳村八组"</f>
        <v>贵州省都匀市摆忙乡坪阳村八组</v>
      </c>
      <c r="F399" s="10" t="str">
        <f t="shared" si="45"/>
        <v>小学</v>
      </c>
      <c r="G399" s="10" t="str">
        <f t="shared" si="46"/>
        <v>102:语文</v>
      </c>
      <c r="H399" s="10" t="s">
        <v>19</v>
      </c>
      <c r="I399" s="10" t="s">
        <v>47</v>
      </c>
      <c r="J399" s="13">
        <v>85.76</v>
      </c>
      <c r="K399" s="10">
        <v>5</v>
      </c>
      <c r="L399" s="16"/>
    </row>
    <row r="400" s="4" customFormat="1" ht="33" customHeight="1" spans="1:12">
      <c r="A400" s="10">
        <v>397</v>
      </c>
      <c r="B400" s="10" t="str">
        <f>"陈艳"</f>
        <v>陈艳</v>
      </c>
      <c r="C400" s="10" t="str">
        <f t="shared" si="47"/>
        <v>女        </v>
      </c>
      <c r="D400" s="10" t="str">
        <f t="shared" ref="D400:D406" si="48">"汉族"</f>
        <v>汉族</v>
      </c>
      <c r="E400" s="10" t="str">
        <f>"云南省曲靖市罗平县罗雄镇法金甸居委会法金甸村96号"</f>
        <v>云南省曲靖市罗平县罗雄镇法金甸居委会法金甸村96号</v>
      </c>
      <c r="F400" s="10" t="str">
        <f t="shared" si="45"/>
        <v>小学</v>
      </c>
      <c r="G400" s="10" t="str">
        <f t="shared" si="46"/>
        <v>102:语文</v>
      </c>
      <c r="H400" s="10" t="s">
        <v>19</v>
      </c>
      <c r="I400" s="10" t="s">
        <v>47</v>
      </c>
      <c r="J400" s="13">
        <v>85.74</v>
      </c>
      <c r="K400" s="10">
        <v>6</v>
      </c>
      <c r="L400" s="16"/>
    </row>
    <row r="401" s="4" customFormat="1" ht="33" customHeight="1" spans="1:12">
      <c r="A401" s="10">
        <v>398</v>
      </c>
      <c r="B401" s="10" t="str">
        <f>"赵鑫"</f>
        <v>赵鑫</v>
      </c>
      <c r="C401" s="10" t="str">
        <f>"男        "</f>
        <v>男        </v>
      </c>
      <c r="D401" s="10" t="str">
        <f t="shared" si="48"/>
        <v>汉族</v>
      </c>
      <c r="E401" s="10" t="str">
        <f>"云南省曲靖市师宗县竹基镇28号"</f>
        <v>云南省曲靖市师宗县竹基镇28号</v>
      </c>
      <c r="F401" s="10" t="str">
        <f t="shared" si="45"/>
        <v>小学</v>
      </c>
      <c r="G401" s="10" t="str">
        <f t="shared" si="46"/>
        <v>102:语文</v>
      </c>
      <c r="H401" s="10" t="s">
        <v>19</v>
      </c>
      <c r="I401" s="10" t="s">
        <v>47</v>
      </c>
      <c r="J401" s="13">
        <v>85.12</v>
      </c>
      <c r="K401" s="10">
        <v>7</v>
      </c>
      <c r="L401" s="16"/>
    </row>
    <row r="402" s="4" customFormat="1" ht="33" customHeight="1" spans="1:12">
      <c r="A402" s="10">
        <v>399</v>
      </c>
      <c r="B402" s="10" t="str">
        <f>"孙瑞"</f>
        <v>孙瑞</v>
      </c>
      <c r="C402" s="10" t="str">
        <f>"女        "</f>
        <v>女        </v>
      </c>
      <c r="D402" s="10" t="str">
        <f t="shared" si="48"/>
        <v>汉族</v>
      </c>
      <c r="E402" s="10" t="str">
        <f>"云南省曲靖市陆良县小百户镇上坝村委会上坝村180号"</f>
        <v>云南省曲靖市陆良县小百户镇上坝村委会上坝村180号</v>
      </c>
      <c r="F402" s="10" t="str">
        <f t="shared" si="45"/>
        <v>小学</v>
      </c>
      <c r="G402" s="10" t="str">
        <f t="shared" si="46"/>
        <v>102:语文</v>
      </c>
      <c r="H402" s="10" t="s">
        <v>19</v>
      </c>
      <c r="I402" s="10" t="s">
        <v>47</v>
      </c>
      <c r="J402" s="13">
        <v>84.9</v>
      </c>
      <c r="K402" s="10">
        <v>8</v>
      </c>
      <c r="L402" s="16"/>
    </row>
    <row r="403" s="4" customFormat="1" ht="33" customHeight="1" spans="1:12">
      <c r="A403" s="10">
        <v>400</v>
      </c>
      <c r="B403" s="10" t="str">
        <f>"刘祥"</f>
        <v>刘祥</v>
      </c>
      <c r="C403" s="10" t="str">
        <f>"男        "</f>
        <v>男        </v>
      </c>
      <c r="D403" s="10" t="str">
        <f t="shared" si="48"/>
        <v>汉族</v>
      </c>
      <c r="E403" s="10" t="str">
        <f>"云南省曲靖市富源县竹园镇竹园村委会乍勒村"</f>
        <v>云南省曲靖市富源县竹园镇竹园村委会乍勒村</v>
      </c>
      <c r="F403" s="10" t="str">
        <f t="shared" ref="F403:F424" si="49">"小学"</f>
        <v>小学</v>
      </c>
      <c r="G403" s="10" t="str">
        <f t="shared" si="46"/>
        <v>102:语文</v>
      </c>
      <c r="H403" s="10" t="s">
        <v>19</v>
      </c>
      <c r="I403" s="10" t="s">
        <v>47</v>
      </c>
      <c r="J403" s="13">
        <v>84.84</v>
      </c>
      <c r="K403" s="10">
        <v>9</v>
      </c>
      <c r="L403" s="16"/>
    </row>
    <row r="404" s="4" customFormat="1" ht="33" customHeight="1" spans="1:12">
      <c r="A404" s="10">
        <v>401</v>
      </c>
      <c r="B404" s="10" t="str">
        <f>"方锦"</f>
        <v>方锦</v>
      </c>
      <c r="C404" s="10" t="str">
        <f>"男        "</f>
        <v>男        </v>
      </c>
      <c r="D404" s="10" t="str">
        <f t="shared" si="48"/>
        <v>汉族</v>
      </c>
      <c r="E404" s="10" t="str">
        <f>"云南省曲靖市罗平县腊山街道大水塘村252号"</f>
        <v>云南省曲靖市罗平县腊山街道大水塘村252号</v>
      </c>
      <c r="F404" s="10" t="str">
        <f t="shared" si="49"/>
        <v>小学</v>
      </c>
      <c r="G404" s="10" t="str">
        <f t="shared" si="46"/>
        <v>102:语文</v>
      </c>
      <c r="H404" s="10" t="s">
        <v>19</v>
      </c>
      <c r="I404" s="10" t="s">
        <v>47</v>
      </c>
      <c r="J404" s="13">
        <v>83.6</v>
      </c>
      <c r="K404" s="10">
        <v>10</v>
      </c>
      <c r="L404" s="16"/>
    </row>
    <row r="405" s="4" customFormat="1" ht="33" customHeight="1" spans="1:12">
      <c r="A405" s="10">
        <v>402</v>
      </c>
      <c r="B405" s="10" t="str">
        <f>"田锦文"</f>
        <v>田锦文</v>
      </c>
      <c r="C405" s="10" t="str">
        <f>"男        "</f>
        <v>男        </v>
      </c>
      <c r="D405" s="10" t="str">
        <f t="shared" si="48"/>
        <v>汉族</v>
      </c>
      <c r="E405" s="10" t="str">
        <f>"广西河池大化县七百弄乡报上村元洞屯"</f>
        <v>广西河池大化县七百弄乡报上村元洞屯</v>
      </c>
      <c r="F405" s="10" t="str">
        <f t="shared" si="49"/>
        <v>小学</v>
      </c>
      <c r="G405" s="10" t="str">
        <f t="shared" si="46"/>
        <v>102:语文</v>
      </c>
      <c r="H405" s="10" t="s">
        <v>19</v>
      </c>
      <c r="I405" s="10" t="s">
        <v>47</v>
      </c>
      <c r="J405" s="13">
        <v>83.58</v>
      </c>
      <c r="K405" s="10">
        <v>11</v>
      </c>
      <c r="L405" s="16"/>
    </row>
    <row r="406" s="4" customFormat="1" ht="33" customHeight="1" spans="1:12">
      <c r="A406" s="10">
        <v>403</v>
      </c>
      <c r="B406" s="10" t="str">
        <f>"陈敏娟"</f>
        <v>陈敏娟</v>
      </c>
      <c r="C406" s="10" t="str">
        <f>"女        "</f>
        <v>女        </v>
      </c>
      <c r="D406" s="10" t="str">
        <f t="shared" si="48"/>
        <v>汉族</v>
      </c>
      <c r="E406" s="10" t="str">
        <f>"云南省曲靖市罗平县九龙镇"</f>
        <v>云南省曲靖市罗平县九龙镇</v>
      </c>
      <c r="F406" s="10" t="str">
        <f t="shared" si="49"/>
        <v>小学</v>
      </c>
      <c r="G406" s="10" t="str">
        <f t="shared" si="46"/>
        <v>102:语文</v>
      </c>
      <c r="H406" s="10" t="s">
        <v>19</v>
      </c>
      <c r="I406" s="10" t="s">
        <v>47</v>
      </c>
      <c r="J406" s="13">
        <v>82.78</v>
      </c>
      <c r="K406" s="10">
        <v>12</v>
      </c>
      <c r="L406" s="16"/>
    </row>
    <row r="407" s="4" customFormat="1" ht="33" customHeight="1" spans="1:12">
      <c r="A407" s="10">
        <v>404</v>
      </c>
      <c r="B407" s="10" t="str">
        <f>"杨梦"</f>
        <v>杨梦</v>
      </c>
      <c r="C407" s="10" t="str">
        <f>"女        "</f>
        <v>女        </v>
      </c>
      <c r="D407" s="10" t="str">
        <f>"壮族"</f>
        <v>壮族</v>
      </c>
      <c r="E407" s="10" t="str">
        <f>"广西百色市隆林县桠杈镇生基湾村么能屯"</f>
        <v>广西百色市隆林县桠杈镇生基湾村么能屯</v>
      </c>
      <c r="F407" s="10" t="str">
        <f t="shared" si="49"/>
        <v>小学</v>
      </c>
      <c r="G407" s="10" t="str">
        <f t="shared" si="46"/>
        <v>102:语文</v>
      </c>
      <c r="H407" s="10" t="s">
        <v>19</v>
      </c>
      <c r="I407" s="10" t="s">
        <v>47</v>
      </c>
      <c r="J407" s="13">
        <v>82.4</v>
      </c>
      <c r="K407" s="10">
        <v>13</v>
      </c>
      <c r="L407" s="16"/>
    </row>
    <row r="408" s="4" customFormat="1" ht="33" customHeight="1" spans="1:12">
      <c r="A408" s="10">
        <v>405</v>
      </c>
      <c r="B408" s="10" t="str">
        <f>"陆红山"</f>
        <v>陆红山</v>
      </c>
      <c r="C408" s="10" t="str">
        <f>"男        "</f>
        <v>男        </v>
      </c>
      <c r="D408" s="10" t="str">
        <f>"汉族"</f>
        <v>汉族</v>
      </c>
      <c r="E408" s="10" t="str">
        <f>"云南省曲靖市罗平县"</f>
        <v>云南省曲靖市罗平县</v>
      </c>
      <c r="F408" s="10" t="str">
        <f t="shared" si="49"/>
        <v>小学</v>
      </c>
      <c r="G408" s="10" t="str">
        <f t="shared" si="46"/>
        <v>102:语文</v>
      </c>
      <c r="H408" s="10" t="s">
        <v>19</v>
      </c>
      <c r="I408" s="10" t="s">
        <v>47</v>
      </c>
      <c r="J408" s="13">
        <v>81.5</v>
      </c>
      <c r="K408" s="10">
        <v>14</v>
      </c>
      <c r="L408" s="16"/>
    </row>
    <row r="409" s="4" customFormat="1" ht="33" customHeight="1" spans="1:12">
      <c r="A409" s="10">
        <v>406</v>
      </c>
      <c r="B409" s="10" t="str">
        <f>"陶宣伊"</f>
        <v>陶宣伊</v>
      </c>
      <c r="C409" s="10" t="str">
        <f>"女        "</f>
        <v>女        </v>
      </c>
      <c r="D409" s="10" t="str">
        <f>"苗族"</f>
        <v>苗族</v>
      </c>
      <c r="E409" s="10" t="str">
        <f>"广西百色市隆林县德峨镇中心小学"</f>
        <v>广西百色市隆林县德峨镇中心小学</v>
      </c>
      <c r="F409" s="10" t="str">
        <f t="shared" si="49"/>
        <v>小学</v>
      </c>
      <c r="G409" s="10" t="str">
        <f t="shared" si="46"/>
        <v>102:语文</v>
      </c>
      <c r="H409" s="10" t="s">
        <v>19</v>
      </c>
      <c r="I409" s="10" t="s">
        <v>47</v>
      </c>
      <c r="J409" s="13">
        <v>81.42</v>
      </c>
      <c r="K409" s="10">
        <v>15</v>
      </c>
      <c r="L409" s="16"/>
    </row>
    <row r="410" s="4" customFormat="1" ht="33" customHeight="1" spans="1:12">
      <c r="A410" s="10">
        <v>407</v>
      </c>
      <c r="B410" s="10" t="str">
        <f>"龚国美"</f>
        <v>龚国美</v>
      </c>
      <c r="C410" s="10" t="str">
        <f>"女        "</f>
        <v>女        </v>
      </c>
      <c r="D410" s="10" t="str">
        <f>"汉族"</f>
        <v>汉族</v>
      </c>
      <c r="E410" s="10" t="str">
        <f>"贵州省黔西南州兴仁县东湖社区"</f>
        <v>贵州省黔西南州兴仁县东湖社区</v>
      </c>
      <c r="F410" s="10" t="str">
        <f t="shared" si="49"/>
        <v>小学</v>
      </c>
      <c r="G410" s="10" t="str">
        <f t="shared" si="46"/>
        <v>102:语文</v>
      </c>
      <c r="H410" s="10" t="s">
        <v>19</v>
      </c>
      <c r="I410" s="10" t="s">
        <v>47</v>
      </c>
      <c r="J410" s="13">
        <v>80.76</v>
      </c>
      <c r="K410" s="10">
        <v>16</v>
      </c>
      <c r="L410" s="16"/>
    </row>
    <row r="411" s="4" customFormat="1" ht="33" customHeight="1" spans="1:12">
      <c r="A411" s="10">
        <v>408</v>
      </c>
      <c r="B411" s="10" t="str">
        <f>"熊秀"</f>
        <v>熊秀</v>
      </c>
      <c r="C411" s="10" t="str">
        <f>"女        "</f>
        <v>女        </v>
      </c>
      <c r="D411" s="10" t="str">
        <f>"汉族"</f>
        <v>汉族</v>
      </c>
      <c r="E411" s="10" t="str">
        <f>"贵州省兴仁县波阳镇杨柳村大园子组"</f>
        <v>贵州省兴仁县波阳镇杨柳村大园子组</v>
      </c>
      <c r="F411" s="10" t="str">
        <f t="shared" si="49"/>
        <v>小学</v>
      </c>
      <c r="G411" s="10" t="str">
        <f t="shared" si="46"/>
        <v>102:语文</v>
      </c>
      <c r="H411" s="10" t="s">
        <v>19</v>
      </c>
      <c r="I411" s="10" t="s">
        <v>47</v>
      </c>
      <c r="J411" s="13">
        <v>80.74</v>
      </c>
      <c r="K411" s="10">
        <v>17</v>
      </c>
      <c r="L411" s="16"/>
    </row>
    <row r="412" s="4" customFormat="1" ht="33" customHeight="1" spans="1:12">
      <c r="A412" s="10">
        <v>409</v>
      </c>
      <c r="B412" s="10" t="str">
        <f>"罗艳芳"</f>
        <v>罗艳芳</v>
      </c>
      <c r="C412" s="10" t="str">
        <f>"女        "</f>
        <v>女        </v>
      </c>
      <c r="D412" s="10" t="str">
        <f>"壮族"</f>
        <v>壮族</v>
      </c>
      <c r="E412" s="10" t="str">
        <f>"广西隆林县者浪乡者烘村三队023号"</f>
        <v>广西隆林县者浪乡者烘村三队023号</v>
      </c>
      <c r="F412" s="10" t="str">
        <f t="shared" si="49"/>
        <v>小学</v>
      </c>
      <c r="G412" s="10" t="str">
        <f t="shared" si="46"/>
        <v>102:语文</v>
      </c>
      <c r="H412" s="10" t="s">
        <v>19</v>
      </c>
      <c r="I412" s="10" t="s">
        <v>47</v>
      </c>
      <c r="J412" s="13">
        <v>80.62</v>
      </c>
      <c r="K412" s="10">
        <v>18</v>
      </c>
      <c r="L412" s="16"/>
    </row>
    <row r="413" s="4" customFormat="1" ht="33" customHeight="1" spans="1:12">
      <c r="A413" s="10">
        <v>410</v>
      </c>
      <c r="B413" s="10" t="str">
        <f>"王念红"</f>
        <v>王念红</v>
      </c>
      <c r="C413" s="10" t="str">
        <f>"女        "</f>
        <v>女        </v>
      </c>
      <c r="D413" s="10" t="str">
        <f>"汉族"</f>
        <v>汉族</v>
      </c>
      <c r="E413" s="10" t="str">
        <f>"贵州省兴义市马岭镇马岭村11组"</f>
        <v>贵州省兴义市马岭镇马岭村11组</v>
      </c>
      <c r="F413" s="10" t="str">
        <f t="shared" si="49"/>
        <v>小学</v>
      </c>
      <c r="G413" s="10" t="str">
        <f t="shared" si="46"/>
        <v>102:语文</v>
      </c>
      <c r="H413" s="10" t="s">
        <v>19</v>
      </c>
      <c r="I413" s="10" t="s">
        <v>47</v>
      </c>
      <c r="J413" s="13">
        <v>78.9</v>
      </c>
      <c r="K413" s="10">
        <v>19</v>
      </c>
      <c r="L413" s="16"/>
    </row>
    <row r="414" s="4" customFormat="1" ht="33" customHeight="1" spans="1:12">
      <c r="A414" s="10">
        <v>411</v>
      </c>
      <c r="B414" s="10" t="str">
        <f>"向文富"</f>
        <v>向文富</v>
      </c>
      <c r="C414" s="10" t="str">
        <f>"男        "</f>
        <v>男        </v>
      </c>
      <c r="D414" s="10" t="str">
        <f>"彝族"</f>
        <v>彝族</v>
      </c>
      <c r="E414" s="10" t="str">
        <f>"文山市坝心乡向家小平坝村"</f>
        <v>文山市坝心乡向家小平坝村</v>
      </c>
      <c r="F414" s="10" t="str">
        <f t="shared" si="49"/>
        <v>小学</v>
      </c>
      <c r="G414" s="10" t="str">
        <f t="shared" si="46"/>
        <v>102:语文</v>
      </c>
      <c r="H414" s="10" t="s">
        <v>19</v>
      </c>
      <c r="I414" s="10" t="s">
        <v>47</v>
      </c>
      <c r="J414" s="13">
        <v>78.14</v>
      </c>
      <c r="K414" s="10">
        <v>20</v>
      </c>
      <c r="L414" s="16"/>
    </row>
    <row r="415" s="4" customFormat="1" ht="33" customHeight="1" spans="1:12">
      <c r="A415" s="10">
        <v>412</v>
      </c>
      <c r="B415" s="10" t="str">
        <f>"伍思雨"</f>
        <v>伍思雨</v>
      </c>
      <c r="C415" s="10" t="str">
        <f>"女        "</f>
        <v>女        </v>
      </c>
      <c r="D415" s="10" t="str">
        <f>"仡佬族"</f>
        <v>仡佬族</v>
      </c>
      <c r="E415" s="10" t="str">
        <f>""</f>
        <v/>
      </c>
      <c r="F415" s="10" t="str">
        <f t="shared" si="49"/>
        <v>小学</v>
      </c>
      <c r="G415" s="10" t="str">
        <f t="shared" ref="G415:G424" si="50">"102:语文"</f>
        <v>102:语文</v>
      </c>
      <c r="H415" s="10" t="s">
        <v>19</v>
      </c>
      <c r="I415" s="10" t="s">
        <v>47</v>
      </c>
      <c r="J415" s="13">
        <v>77.74</v>
      </c>
      <c r="K415" s="10">
        <v>21</v>
      </c>
      <c r="L415" s="16"/>
    </row>
    <row r="416" s="4" customFormat="1" ht="33" customHeight="1" spans="1:12">
      <c r="A416" s="10">
        <v>413</v>
      </c>
      <c r="B416" s="10" t="str">
        <f>"桂娟"</f>
        <v>桂娟</v>
      </c>
      <c r="C416" s="10" t="str">
        <f>"女        "</f>
        <v>女        </v>
      </c>
      <c r="D416" s="10" t="str">
        <f>"回族"</f>
        <v>回族</v>
      </c>
      <c r="E416" s="10" t="str">
        <f>"云南省曲靖市沾益县盘江镇荣兴村委会荣兴北村152号"</f>
        <v>云南省曲靖市沾益县盘江镇荣兴村委会荣兴北村152号</v>
      </c>
      <c r="F416" s="10" t="str">
        <f t="shared" si="49"/>
        <v>小学</v>
      </c>
      <c r="G416" s="10" t="str">
        <f t="shared" si="50"/>
        <v>102:语文</v>
      </c>
      <c r="H416" s="10" t="s">
        <v>19</v>
      </c>
      <c r="I416" s="10" t="s">
        <v>47</v>
      </c>
      <c r="J416" s="13">
        <v>77.46</v>
      </c>
      <c r="K416" s="10">
        <v>22</v>
      </c>
      <c r="L416" s="16"/>
    </row>
    <row r="417" s="4" customFormat="1" ht="33" customHeight="1" spans="1:12">
      <c r="A417" s="10">
        <v>414</v>
      </c>
      <c r="B417" s="10" t="str">
        <f>"符足技"</f>
        <v>符足技</v>
      </c>
      <c r="C417" s="10" t="str">
        <f>"男        "</f>
        <v>男        </v>
      </c>
      <c r="D417" s="10" t="str">
        <f>"苗族"</f>
        <v>苗族</v>
      </c>
      <c r="E417" s="10" t="str">
        <f>"贵州省望谟县郊纳镇八步村下寨组"</f>
        <v>贵州省望谟县郊纳镇八步村下寨组</v>
      </c>
      <c r="F417" s="10" t="str">
        <f t="shared" si="49"/>
        <v>小学</v>
      </c>
      <c r="G417" s="10" t="str">
        <f t="shared" si="50"/>
        <v>102:语文</v>
      </c>
      <c r="H417" s="10" t="s">
        <v>19</v>
      </c>
      <c r="I417" s="10" t="s">
        <v>47</v>
      </c>
      <c r="J417" s="13">
        <v>76.92</v>
      </c>
      <c r="K417" s="10">
        <v>23</v>
      </c>
      <c r="L417" s="16"/>
    </row>
    <row r="418" s="4" customFormat="1" ht="33" customHeight="1" spans="1:12">
      <c r="A418" s="10">
        <v>415</v>
      </c>
      <c r="B418" s="10" t="str">
        <f>"陶晓"</f>
        <v>陶晓</v>
      </c>
      <c r="C418" s="10" t="str">
        <f>"女        "</f>
        <v>女        </v>
      </c>
      <c r="D418" s="10" t="str">
        <f>"壮族"</f>
        <v>壮族</v>
      </c>
      <c r="E418" s="10" t="str">
        <f>"广西省百色市隆林县岩茶乡弄金村83号"</f>
        <v>广西省百色市隆林县岩茶乡弄金村83号</v>
      </c>
      <c r="F418" s="10" t="str">
        <f t="shared" si="49"/>
        <v>小学</v>
      </c>
      <c r="G418" s="10" t="str">
        <f t="shared" si="50"/>
        <v>102:语文</v>
      </c>
      <c r="H418" s="10" t="s">
        <v>19</v>
      </c>
      <c r="I418" s="10" t="s">
        <v>47</v>
      </c>
      <c r="J418" s="13">
        <v>75.1</v>
      </c>
      <c r="K418" s="10">
        <v>24</v>
      </c>
      <c r="L418" s="16"/>
    </row>
    <row r="419" s="4" customFormat="1" ht="33" customHeight="1" spans="1:12">
      <c r="A419" s="10">
        <v>416</v>
      </c>
      <c r="B419" s="10" t="str">
        <f>"段明新"</f>
        <v>段明新</v>
      </c>
      <c r="C419" s="10" t="str">
        <f>"女        "</f>
        <v>女        </v>
      </c>
      <c r="D419" s="10" t="str">
        <f>"汉族"</f>
        <v>汉族</v>
      </c>
      <c r="E419" s="10" t="str">
        <f>"贵州省贞丰县珉谷镇劳动三巷34号"</f>
        <v>贵州省贞丰县珉谷镇劳动三巷34号</v>
      </c>
      <c r="F419" s="10" t="str">
        <f t="shared" si="49"/>
        <v>小学</v>
      </c>
      <c r="G419" s="10" t="str">
        <f t="shared" si="50"/>
        <v>102:语文</v>
      </c>
      <c r="H419" s="10" t="s">
        <v>19</v>
      </c>
      <c r="I419" s="10" t="s">
        <v>47</v>
      </c>
      <c r="J419" s="13">
        <v>73.96</v>
      </c>
      <c r="K419" s="10">
        <v>25</v>
      </c>
      <c r="L419" s="16"/>
    </row>
    <row r="420" s="4" customFormat="1" ht="33" customHeight="1" spans="1:12">
      <c r="A420" s="10">
        <v>417</v>
      </c>
      <c r="B420" s="10" t="str">
        <f>"王晚连"</f>
        <v>王晚连</v>
      </c>
      <c r="C420" s="10" t="str">
        <f>"女        "</f>
        <v>女        </v>
      </c>
      <c r="D420" s="10" t="str">
        <f>"布依族"</f>
        <v>布依族</v>
      </c>
      <c r="E420" s="10" t="str">
        <f>"贵州省望谟县蔗香乡新寨村坝尾组"</f>
        <v>贵州省望谟县蔗香乡新寨村坝尾组</v>
      </c>
      <c r="F420" s="10" t="str">
        <f t="shared" si="49"/>
        <v>小学</v>
      </c>
      <c r="G420" s="10" t="str">
        <f t="shared" si="50"/>
        <v>102:语文</v>
      </c>
      <c r="H420" s="10" t="s">
        <v>19</v>
      </c>
      <c r="I420" s="10" t="s">
        <v>47</v>
      </c>
      <c r="J420" s="13">
        <v>73.04</v>
      </c>
      <c r="K420" s="10">
        <v>26</v>
      </c>
      <c r="L420" s="16"/>
    </row>
    <row r="421" s="4" customFormat="1" ht="33" customHeight="1" spans="1:12">
      <c r="A421" s="10">
        <v>418</v>
      </c>
      <c r="B421" s="10" t="str">
        <f>"何星江"</f>
        <v>何星江</v>
      </c>
      <c r="C421" s="10" t="str">
        <f>"男        "</f>
        <v>男        </v>
      </c>
      <c r="D421" s="10" t="str">
        <f>"壮族"</f>
        <v>壮族</v>
      </c>
      <c r="E421" s="10" t="str">
        <f>"云南省文山州富宁县田蓬蓬戈桃村民委戈造小组"</f>
        <v>云南省文山州富宁县田蓬蓬戈桃村民委戈造小组</v>
      </c>
      <c r="F421" s="10" t="str">
        <f t="shared" si="49"/>
        <v>小学</v>
      </c>
      <c r="G421" s="10" t="str">
        <f t="shared" si="50"/>
        <v>102:语文</v>
      </c>
      <c r="H421" s="10" t="s">
        <v>19</v>
      </c>
      <c r="I421" s="10" t="s">
        <v>47</v>
      </c>
      <c r="J421" s="13">
        <v>72.4</v>
      </c>
      <c r="K421" s="10">
        <v>27</v>
      </c>
      <c r="L421" s="16"/>
    </row>
    <row r="422" s="4" customFormat="1" ht="33" customHeight="1" spans="1:12">
      <c r="A422" s="10">
        <v>419</v>
      </c>
      <c r="B422" s="10" t="str">
        <f>"吴云栖"</f>
        <v>吴云栖</v>
      </c>
      <c r="C422" s="10" t="str">
        <f>"女        "</f>
        <v>女        </v>
      </c>
      <c r="D422" s="10" t="str">
        <f>"汉族"</f>
        <v>汉族</v>
      </c>
      <c r="E422" s="10" t="str">
        <f>"广西百色市隆林县桠杈镇龙良村老龙良屯"</f>
        <v>广西百色市隆林县桠杈镇龙良村老龙良屯</v>
      </c>
      <c r="F422" s="10" t="str">
        <f t="shared" si="49"/>
        <v>小学</v>
      </c>
      <c r="G422" s="10" t="str">
        <f t="shared" si="50"/>
        <v>102:语文</v>
      </c>
      <c r="H422" s="10" t="s">
        <v>19</v>
      </c>
      <c r="I422" s="10" t="s">
        <v>47</v>
      </c>
      <c r="J422" s="13">
        <v>65.56</v>
      </c>
      <c r="K422" s="10">
        <v>28</v>
      </c>
      <c r="L422" s="16"/>
    </row>
    <row r="423" s="4" customFormat="1" ht="33" customHeight="1" spans="1:12">
      <c r="A423" s="10">
        <v>420</v>
      </c>
      <c r="B423" s="10" t="str">
        <f>"周洁"</f>
        <v>周洁</v>
      </c>
      <c r="C423" s="10" t="str">
        <f>"女        "</f>
        <v>女        </v>
      </c>
      <c r="D423" s="10" t="str">
        <f>"汉族"</f>
        <v>汉族</v>
      </c>
      <c r="E423" s="10" t="str">
        <f>"广西省百色市隆林县天生桥镇安然村龙塘屯019号"</f>
        <v>广西省百色市隆林县天生桥镇安然村龙塘屯019号</v>
      </c>
      <c r="F423" s="10" t="str">
        <f t="shared" si="49"/>
        <v>小学</v>
      </c>
      <c r="G423" s="10" t="str">
        <f t="shared" si="50"/>
        <v>102:语文</v>
      </c>
      <c r="H423" s="10" t="s">
        <v>19</v>
      </c>
      <c r="I423" s="10" t="s">
        <v>47</v>
      </c>
      <c r="J423" s="17" t="s">
        <v>18</v>
      </c>
      <c r="K423" s="10">
        <v>29</v>
      </c>
      <c r="L423" s="16"/>
    </row>
    <row r="424" s="4" customFormat="1" ht="33" customHeight="1" spans="1:12">
      <c r="A424" s="10">
        <v>421</v>
      </c>
      <c r="B424" s="10" t="str">
        <f>"钱欢"</f>
        <v>钱欢</v>
      </c>
      <c r="C424" s="10" t="str">
        <f>"女        "</f>
        <v>女        </v>
      </c>
      <c r="D424" s="10" t="str">
        <f>"汉族"</f>
        <v>汉族</v>
      </c>
      <c r="E424" s="10" t="str">
        <f>"云南省曲靖市罗平县罗雄镇白龙潭村"</f>
        <v>云南省曲靖市罗平县罗雄镇白龙潭村</v>
      </c>
      <c r="F424" s="10" t="str">
        <f t="shared" si="49"/>
        <v>小学</v>
      </c>
      <c r="G424" s="10" t="str">
        <f t="shared" si="50"/>
        <v>102:语文</v>
      </c>
      <c r="H424" s="10" t="s">
        <v>19</v>
      </c>
      <c r="I424" s="10" t="s">
        <v>47</v>
      </c>
      <c r="J424" s="17" t="s">
        <v>18</v>
      </c>
      <c r="K424" s="10">
        <v>30</v>
      </c>
      <c r="L424" s="16"/>
    </row>
  </sheetData>
  <sortState ref="A4:N424">
    <sortCondition ref="A4:A424"/>
  </sortState>
  <mergeCells count="2">
    <mergeCell ref="A1:L1"/>
    <mergeCell ref="A2:L2"/>
  </mergeCells>
  <pageMargins left="0.708333333333333" right="0.708333333333333" top="0.747916666666667" bottom="0.747916666666667" header="0.314583333333333" footer="0.31458333333333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2018-07-22T05:29:00Z</dcterms:created>
  <cp:lastPrinted>2018-07-29T03:37:00Z</cp:lastPrinted>
  <dcterms:modified xsi:type="dcterms:W3CDTF">2018-07-31T03:43:35Z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