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13050"/>
  </bookViews>
  <sheets>
    <sheet name="总排名" sheetId="21" r:id="rId1"/>
  </sheets>
  <definedNames>
    <definedName name="_xlnm.Print_Titles" localSheetId="0">总排名!$1:$3</definedName>
  </definedNames>
  <calcPr calcId="125725"/>
</workbook>
</file>

<file path=xl/calcChain.xml><?xml version="1.0" encoding="utf-8"?>
<calcChain xmlns="http://schemas.openxmlformats.org/spreadsheetml/2006/main">
  <c r="I411" i="21"/>
  <c r="H411"/>
  <c r="G411"/>
  <c r="F411"/>
  <c r="E411"/>
  <c r="D411"/>
  <c r="C411"/>
  <c r="B411"/>
  <c r="I396"/>
  <c r="H396"/>
  <c r="G396"/>
  <c r="F396"/>
  <c r="E396"/>
  <c r="D396"/>
  <c r="C396"/>
  <c r="B396"/>
  <c r="I401"/>
  <c r="H401"/>
  <c r="G401"/>
  <c r="F401"/>
  <c r="E401"/>
  <c r="D401"/>
  <c r="C401"/>
  <c r="B401"/>
  <c r="I402"/>
  <c r="H402"/>
  <c r="G402"/>
  <c r="F402"/>
  <c r="E402"/>
  <c r="D402"/>
  <c r="C402"/>
  <c r="B402"/>
  <c r="I422"/>
  <c r="H422"/>
  <c r="G422"/>
  <c r="F422"/>
  <c r="E422"/>
  <c r="D422"/>
  <c r="C422"/>
  <c r="B422"/>
  <c r="I405"/>
  <c r="H405"/>
  <c r="G405"/>
  <c r="F405"/>
  <c r="E405"/>
  <c r="D405"/>
  <c r="C405"/>
  <c r="B405"/>
  <c r="I410"/>
  <c r="H410"/>
  <c r="G410"/>
  <c r="F410"/>
  <c r="E410"/>
  <c r="D410"/>
  <c r="C410"/>
  <c r="B410"/>
  <c r="I400"/>
  <c r="H400"/>
  <c r="G400"/>
  <c r="F400"/>
  <c r="E400"/>
  <c r="D400"/>
  <c r="C400"/>
  <c r="B400"/>
  <c r="I420"/>
  <c r="H420"/>
  <c r="G420"/>
  <c r="F420"/>
  <c r="E420"/>
  <c r="D420"/>
  <c r="C420"/>
  <c r="B420"/>
  <c r="I409"/>
  <c r="H409"/>
  <c r="G409"/>
  <c r="F409"/>
  <c r="E409"/>
  <c r="D409"/>
  <c r="C409"/>
  <c r="B409"/>
  <c r="I403"/>
  <c r="H403"/>
  <c r="G403"/>
  <c r="F403"/>
  <c r="E403"/>
  <c r="D403"/>
  <c r="C403"/>
  <c r="B403"/>
  <c r="I424"/>
  <c r="H424"/>
  <c r="G424"/>
  <c r="F424"/>
  <c r="E424"/>
  <c r="D424"/>
  <c r="C424"/>
  <c r="B424"/>
  <c r="I398"/>
  <c r="H398"/>
  <c r="G398"/>
  <c r="F398"/>
  <c r="E398"/>
  <c r="D398"/>
  <c r="C398"/>
  <c r="B398"/>
  <c r="I416"/>
  <c r="H416"/>
  <c r="G416"/>
  <c r="F416"/>
  <c r="E416"/>
  <c r="D416"/>
  <c r="C416"/>
  <c r="B416"/>
  <c r="I414"/>
  <c r="H414"/>
  <c r="G414"/>
  <c r="F414"/>
  <c r="E414"/>
  <c r="D414"/>
  <c r="C414"/>
  <c r="B414"/>
  <c r="I406"/>
  <c r="H406"/>
  <c r="G406"/>
  <c r="F406"/>
  <c r="E406"/>
  <c r="D406"/>
  <c r="C406"/>
  <c r="B406"/>
  <c r="I413"/>
  <c r="H413"/>
  <c r="G413"/>
  <c r="F413"/>
  <c r="E413"/>
  <c r="D413"/>
  <c r="C413"/>
  <c r="B413"/>
  <c r="I395"/>
  <c r="H395"/>
  <c r="G395"/>
  <c r="F395"/>
  <c r="E395"/>
  <c r="D395"/>
  <c r="C395"/>
  <c r="B395"/>
  <c r="I415"/>
  <c r="H415"/>
  <c r="G415"/>
  <c r="F415"/>
  <c r="E415"/>
  <c r="D415"/>
  <c r="C415"/>
  <c r="B415"/>
  <c r="I421"/>
  <c r="H421"/>
  <c r="G421"/>
  <c r="F421"/>
  <c r="E421"/>
  <c r="D421"/>
  <c r="C421"/>
  <c r="B421"/>
  <c r="I399"/>
  <c r="H399"/>
  <c r="G399"/>
  <c r="F399"/>
  <c r="E399"/>
  <c r="D399"/>
  <c r="C399"/>
  <c r="B399"/>
  <c r="I397"/>
  <c r="H397"/>
  <c r="G397"/>
  <c r="F397"/>
  <c r="E397"/>
  <c r="D397"/>
  <c r="C397"/>
  <c r="B397"/>
  <c r="I407"/>
  <c r="H407"/>
  <c r="G407"/>
  <c r="F407"/>
  <c r="E407"/>
  <c r="D407"/>
  <c r="C407"/>
  <c r="B407"/>
  <c r="I417"/>
  <c r="H417"/>
  <c r="G417"/>
  <c r="F417"/>
  <c r="E417"/>
  <c r="D417"/>
  <c r="C417"/>
  <c r="B417"/>
  <c r="I418"/>
  <c r="H418"/>
  <c r="G418"/>
  <c r="F418"/>
  <c r="E418"/>
  <c r="D418"/>
  <c r="C418"/>
  <c r="B418"/>
  <c r="I412"/>
  <c r="H412"/>
  <c r="G412"/>
  <c r="F412"/>
  <c r="E412"/>
  <c r="D412"/>
  <c r="C412"/>
  <c r="B412"/>
  <c r="I408"/>
  <c r="H408"/>
  <c r="G408"/>
  <c r="F408"/>
  <c r="E408"/>
  <c r="D408"/>
  <c r="C408"/>
  <c r="B408"/>
  <c r="I419"/>
  <c r="H419"/>
  <c r="G419"/>
  <c r="F419"/>
  <c r="E419"/>
  <c r="D419"/>
  <c r="C419"/>
  <c r="B419"/>
  <c r="I404"/>
  <c r="H404"/>
  <c r="G404"/>
  <c r="F404"/>
  <c r="E404"/>
  <c r="D404"/>
  <c r="C404"/>
  <c r="B404"/>
  <c r="I423"/>
  <c r="H423"/>
  <c r="G423"/>
  <c r="F423"/>
  <c r="E423"/>
  <c r="D423"/>
  <c r="C423"/>
  <c r="B423"/>
  <c r="I376"/>
  <c r="H376"/>
  <c r="G376"/>
  <c r="F376"/>
  <c r="E376"/>
  <c r="D376"/>
  <c r="C376"/>
  <c r="B376"/>
  <c r="I388"/>
  <c r="H388"/>
  <c r="G388"/>
  <c r="F388"/>
  <c r="E388"/>
  <c r="D388"/>
  <c r="C388"/>
  <c r="B388"/>
  <c r="I389"/>
  <c r="H389"/>
  <c r="G389"/>
  <c r="F389"/>
  <c r="E389"/>
  <c r="D389"/>
  <c r="C389"/>
  <c r="B389"/>
  <c r="I394"/>
  <c r="H394"/>
  <c r="G394"/>
  <c r="F394"/>
  <c r="E394"/>
  <c r="D394"/>
  <c r="C394"/>
  <c r="B394"/>
  <c r="I380"/>
  <c r="H380"/>
  <c r="G380"/>
  <c r="F380"/>
  <c r="E380"/>
  <c r="D380"/>
  <c r="C380"/>
  <c r="B380"/>
  <c r="I379"/>
  <c r="H379"/>
  <c r="G379"/>
  <c r="F379"/>
  <c r="E379"/>
  <c r="D379"/>
  <c r="C379"/>
  <c r="B379"/>
  <c r="I377"/>
  <c r="H377"/>
  <c r="G377"/>
  <c r="F377"/>
  <c r="E377"/>
  <c r="D377"/>
  <c r="C377"/>
  <c r="B377"/>
  <c r="I390"/>
  <c r="H390"/>
  <c r="G390"/>
  <c r="F390"/>
  <c r="E390"/>
  <c r="D390"/>
  <c r="C390"/>
  <c r="B390"/>
  <c r="I378"/>
  <c r="H378"/>
  <c r="G378"/>
  <c r="F378"/>
  <c r="E378"/>
  <c r="D378"/>
  <c r="C378"/>
  <c r="B378"/>
  <c r="I383"/>
  <c r="H383"/>
  <c r="G383"/>
  <c r="F383"/>
  <c r="E383"/>
  <c r="D383"/>
  <c r="C383"/>
  <c r="B383"/>
  <c r="I393"/>
  <c r="H393"/>
  <c r="G393"/>
  <c r="F393"/>
  <c r="E393"/>
  <c r="D393"/>
  <c r="C393"/>
  <c r="B393"/>
  <c r="I392"/>
  <c r="H392"/>
  <c r="G392"/>
  <c r="F392"/>
  <c r="E392"/>
  <c r="D392"/>
  <c r="C392"/>
  <c r="B392"/>
  <c r="I391"/>
  <c r="H391"/>
  <c r="G391"/>
  <c r="F391"/>
  <c r="E391"/>
  <c r="D391"/>
  <c r="C391"/>
  <c r="B391"/>
  <c r="I387"/>
  <c r="H387"/>
  <c r="G387"/>
  <c r="F387"/>
  <c r="E387"/>
  <c r="D387"/>
  <c r="C387"/>
  <c r="B387"/>
  <c r="I381"/>
  <c r="H381"/>
  <c r="G381"/>
  <c r="F381"/>
  <c r="E381"/>
  <c r="D381"/>
  <c r="C381"/>
  <c r="B381"/>
  <c r="I386"/>
  <c r="H386"/>
  <c r="G386"/>
  <c r="F386"/>
  <c r="E386"/>
  <c r="D386"/>
  <c r="C386"/>
  <c r="B386"/>
  <c r="I382"/>
  <c r="H382"/>
  <c r="G382"/>
  <c r="F382"/>
  <c r="E382"/>
  <c r="D382"/>
  <c r="C382"/>
  <c r="B382"/>
  <c r="I375"/>
  <c r="H375"/>
  <c r="G375"/>
  <c r="F375"/>
  <c r="E375"/>
  <c r="D375"/>
  <c r="C375"/>
  <c r="B375"/>
  <c r="I384"/>
  <c r="H384"/>
  <c r="G384"/>
  <c r="F384"/>
  <c r="E384"/>
  <c r="D384"/>
  <c r="C384"/>
  <c r="B384"/>
  <c r="I385"/>
  <c r="H385"/>
  <c r="G385"/>
  <c r="F385"/>
  <c r="E385"/>
  <c r="D385"/>
  <c r="C385"/>
  <c r="B385"/>
  <c r="I350"/>
  <c r="H350"/>
  <c r="G350"/>
  <c r="F350"/>
  <c r="E350"/>
  <c r="D350"/>
  <c r="C350"/>
  <c r="B350"/>
  <c r="I371"/>
  <c r="H371"/>
  <c r="G371"/>
  <c r="F371"/>
  <c r="E371"/>
  <c r="D371"/>
  <c r="C371"/>
  <c r="B371"/>
  <c r="I364"/>
  <c r="H364"/>
  <c r="G364"/>
  <c r="F364"/>
  <c r="E364"/>
  <c r="D364"/>
  <c r="C364"/>
  <c r="B364"/>
  <c r="I374"/>
  <c r="H374"/>
  <c r="G374"/>
  <c r="F374"/>
  <c r="E374"/>
  <c r="D374"/>
  <c r="C374"/>
  <c r="B374"/>
  <c r="I368"/>
  <c r="H368"/>
  <c r="G368"/>
  <c r="F368"/>
  <c r="E368"/>
  <c r="D368"/>
  <c r="C368"/>
  <c r="B368"/>
  <c r="I348"/>
  <c r="H348"/>
  <c r="G348"/>
  <c r="F348"/>
  <c r="E348"/>
  <c r="D348"/>
  <c r="C348"/>
  <c r="B348"/>
  <c r="I373"/>
  <c r="H373"/>
  <c r="G373"/>
  <c r="F373"/>
  <c r="E373"/>
  <c r="D373"/>
  <c r="C373"/>
  <c r="B373"/>
  <c r="I358"/>
  <c r="H358"/>
  <c r="G358"/>
  <c r="F358"/>
  <c r="E358"/>
  <c r="D358"/>
  <c r="C358"/>
  <c r="B358"/>
  <c r="I357"/>
  <c r="H357"/>
  <c r="G357"/>
  <c r="F357"/>
  <c r="E357"/>
  <c r="D357"/>
  <c r="C357"/>
  <c r="B357"/>
  <c r="I352"/>
  <c r="H352"/>
  <c r="G352"/>
  <c r="F352"/>
  <c r="E352"/>
  <c r="D352"/>
  <c r="C352"/>
  <c r="B352"/>
  <c r="I372"/>
  <c r="H372"/>
  <c r="G372"/>
  <c r="F372"/>
  <c r="E372"/>
  <c r="D372"/>
  <c r="C372"/>
  <c r="B372"/>
  <c r="I356"/>
  <c r="H356"/>
  <c r="G356"/>
  <c r="F356"/>
  <c r="E356"/>
  <c r="D356"/>
  <c r="C356"/>
  <c r="B356"/>
  <c r="I353"/>
  <c r="H353"/>
  <c r="G353"/>
  <c r="F353"/>
  <c r="E353"/>
  <c r="D353"/>
  <c r="C353"/>
  <c r="B353"/>
  <c r="I362"/>
  <c r="H362"/>
  <c r="G362"/>
  <c r="F362"/>
  <c r="E362"/>
  <c r="D362"/>
  <c r="C362"/>
  <c r="B362"/>
  <c r="I359"/>
  <c r="H359"/>
  <c r="G359"/>
  <c r="F359"/>
  <c r="E359"/>
  <c r="D359"/>
  <c r="C359"/>
  <c r="B359"/>
  <c r="I370"/>
  <c r="H370"/>
  <c r="G370"/>
  <c r="F370"/>
  <c r="E370"/>
  <c r="D370"/>
  <c r="C370"/>
  <c r="B370"/>
  <c r="I365"/>
  <c r="H365"/>
  <c r="G365"/>
  <c r="F365"/>
  <c r="E365"/>
  <c r="D365"/>
  <c r="C365"/>
  <c r="B365"/>
  <c r="I361"/>
  <c r="H361"/>
  <c r="G361"/>
  <c r="F361"/>
  <c r="E361"/>
  <c r="D361"/>
  <c r="C361"/>
  <c r="B361"/>
  <c r="I363"/>
  <c r="H363"/>
  <c r="G363"/>
  <c r="F363"/>
  <c r="E363"/>
  <c r="D363"/>
  <c r="C363"/>
  <c r="B363"/>
  <c r="I351"/>
  <c r="H351"/>
  <c r="G351"/>
  <c r="F351"/>
  <c r="E351"/>
  <c r="D351"/>
  <c r="C351"/>
  <c r="B351"/>
  <c r="I367"/>
  <c r="H367"/>
  <c r="G367"/>
  <c r="F367"/>
  <c r="E367"/>
  <c r="D367"/>
  <c r="C367"/>
  <c r="B367"/>
  <c r="I347"/>
  <c r="H347"/>
  <c r="G347"/>
  <c r="F347"/>
  <c r="E347"/>
  <c r="D347"/>
  <c r="C347"/>
  <c r="B347"/>
  <c r="I355"/>
  <c r="H355"/>
  <c r="G355"/>
  <c r="F355"/>
  <c r="E355"/>
  <c r="D355"/>
  <c r="C355"/>
  <c r="B355"/>
  <c r="I349"/>
  <c r="H349"/>
  <c r="G349"/>
  <c r="F349"/>
  <c r="E349"/>
  <c r="D349"/>
  <c r="C349"/>
  <c r="B349"/>
  <c r="I369"/>
  <c r="H369"/>
  <c r="G369"/>
  <c r="F369"/>
  <c r="E369"/>
  <c r="D369"/>
  <c r="C369"/>
  <c r="B369"/>
  <c r="I366"/>
  <c r="H366"/>
  <c r="G366"/>
  <c r="F366"/>
  <c r="E366"/>
  <c r="D366"/>
  <c r="C366"/>
  <c r="B366"/>
  <c r="I354"/>
  <c r="H354"/>
  <c r="G354"/>
  <c r="F354"/>
  <c r="E354"/>
  <c r="D354"/>
  <c r="C354"/>
  <c r="B354"/>
  <c r="I360"/>
  <c r="H360"/>
  <c r="G360"/>
  <c r="F360"/>
  <c r="E360"/>
  <c r="D360"/>
  <c r="C360"/>
  <c r="B360"/>
  <c r="I344"/>
  <c r="H344"/>
  <c r="G344"/>
  <c r="F344"/>
  <c r="E344"/>
  <c r="D344"/>
  <c r="C344"/>
  <c r="B344"/>
  <c r="I339"/>
  <c r="H339"/>
  <c r="G339"/>
  <c r="F339"/>
  <c r="E339"/>
  <c r="D339"/>
  <c r="C339"/>
  <c r="B339"/>
  <c r="I333"/>
  <c r="H333"/>
  <c r="G333"/>
  <c r="F333"/>
  <c r="E333"/>
  <c r="D333"/>
  <c r="C333"/>
  <c r="B333"/>
  <c r="I335"/>
  <c r="H335"/>
  <c r="G335"/>
  <c r="F335"/>
  <c r="E335"/>
  <c r="D335"/>
  <c r="C335"/>
  <c r="B335"/>
  <c r="I345"/>
  <c r="H345"/>
  <c r="G345"/>
  <c r="F345"/>
  <c r="E345"/>
  <c r="D345"/>
  <c r="C345"/>
  <c r="B345"/>
  <c r="I337"/>
  <c r="H337"/>
  <c r="G337"/>
  <c r="F337"/>
  <c r="E337"/>
  <c r="D337"/>
  <c r="C337"/>
  <c r="B337"/>
  <c r="I338"/>
  <c r="H338"/>
  <c r="G338"/>
  <c r="F338"/>
  <c r="E338"/>
  <c r="D338"/>
  <c r="C338"/>
  <c r="B338"/>
  <c r="I341"/>
  <c r="H341"/>
  <c r="G341"/>
  <c r="F341"/>
  <c r="E341"/>
  <c r="D341"/>
  <c r="C341"/>
  <c r="B341"/>
  <c r="I346"/>
  <c r="H346"/>
  <c r="G346"/>
  <c r="F346"/>
  <c r="E346"/>
  <c r="D346"/>
  <c r="C346"/>
  <c r="B346"/>
  <c r="I342"/>
  <c r="H342"/>
  <c r="G342"/>
  <c r="F342"/>
  <c r="E342"/>
  <c r="D342"/>
  <c r="C342"/>
  <c r="B342"/>
  <c r="I340"/>
  <c r="H340"/>
  <c r="G340"/>
  <c r="F340"/>
  <c r="E340"/>
  <c r="D340"/>
  <c r="C340"/>
  <c r="B340"/>
  <c r="I334"/>
  <c r="H334"/>
  <c r="G334"/>
  <c r="F334"/>
  <c r="E334"/>
  <c r="D334"/>
  <c r="C334"/>
  <c r="B334"/>
  <c r="I336"/>
  <c r="H336"/>
  <c r="G336"/>
  <c r="F336"/>
  <c r="E336"/>
  <c r="D336"/>
  <c r="C336"/>
  <c r="B336"/>
  <c r="I343"/>
  <c r="H343"/>
  <c r="G343"/>
  <c r="F343"/>
  <c r="E343"/>
  <c r="D343"/>
  <c r="C343"/>
  <c r="B343"/>
  <c r="I326"/>
  <c r="H326"/>
  <c r="G326"/>
  <c r="F326"/>
  <c r="E326"/>
  <c r="D326"/>
  <c r="C326"/>
  <c r="B326"/>
  <c r="I332"/>
  <c r="H332"/>
  <c r="G332"/>
  <c r="F332"/>
  <c r="E332"/>
  <c r="D332"/>
  <c r="C332"/>
  <c r="B332"/>
  <c r="I325"/>
  <c r="H325"/>
  <c r="G325"/>
  <c r="F325"/>
  <c r="E325"/>
  <c r="D325"/>
  <c r="C325"/>
  <c r="B325"/>
  <c r="I331"/>
  <c r="H331"/>
  <c r="G331"/>
  <c r="F331"/>
  <c r="E331"/>
  <c r="D331"/>
  <c r="C331"/>
  <c r="B331"/>
  <c r="I321"/>
  <c r="H321"/>
  <c r="G321"/>
  <c r="F321"/>
  <c r="E321"/>
  <c r="D321"/>
  <c r="C321"/>
  <c r="B321"/>
  <c r="I324"/>
  <c r="H324"/>
  <c r="G324"/>
  <c r="F324"/>
  <c r="E324"/>
  <c r="D324"/>
  <c r="C324"/>
  <c r="B324"/>
  <c r="I319"/>
  <c r="H319"/>
  <c r="G319"/>
  <c r="F319"/>
  <c r="E319"/>
  <c r="D319"/>
  <c r="C319"/>
  <c r="B319"/>
  <c r="I323"/>
  <c r="H323"/>
  <c r="G323"/>
  <c r="F323"/>
  <c r="E323"/>
  <c r="D323"/>
  <c r="C323"/>
  <c r="B323"/>
  <c r="I330"/>
  <c r="H330"/>
  <c r="G330"/>
  <c r="F330"/>
  <c r="E330"/>
  <c r="D330"/>
  <c r="C330"/>
  <c r="B330"/>
  <c r="I327"/>
  <c r="H327"/>
  <c r="G327"/>
  <c r="F327"/>
  <c r="E327"/>
  <c r="D327"/>
  <c r="C327"/>
  <c r="B327"/>
  <c r="I322"/>
  <c r="H322"/>
  <c r="G322"/>
  <c r="F322"/>
  <c r="E322"/>
  <c r="D322"/>
  <c r="C322"/>
  <c r="B322"/>
  <c r="I329"/>
  <c r="H329"/>
  <c r="G329"/>
  <c r="F329"/>
  <c r="E329"/>
  <c r="D329"/>
  <c r="C329"/>
  <c r="B329"/>
  <c r="I320"/>
  <c r="H320"/>
  <c r="G320"/>
  <c r="F320"/>
  <c r="E320"/>
  <c r="D320"/>
  <c r="C320"/>
  <c r="B320"/>
  <c r="I328"/>
  <c r="H328"/>
  <c r="G328"/>
  <c r="F328"/>
  <c r="E328"/>
  <c r="D328"/>
  <c r="C328"/>
  <c r="B328"/>
  <c r="I318"/>
  <c r="H318"/>
  <c r="G318"/>
  <c r="F318"/>
  <c r="E318"/>
  <c r="D318"/>
  <c r="C318"/>
  <c r="B318"/>
  <c r="I295"/>
  <c r="H295"/>
  <c r="G295"/>
  <c r="F295"/>
  <c r="E295"/>
  <c r="D295"/>
  <c r="C295"/>
  <c r="B295"/>
  <c r="I314"/>
  <c r="H314"/>
  <c r="G314"/>
  <c r="F314"/>
  <c r="E314"/>
  <c r="D314"/>
  <c r="C314"/>
  <c r="B314"/>
  <c r="I303"/>
  <c r="H303"/>
  <c r="G303"/>
  <c r="F303"/>
  <c r="E303"/>
  <c r="D303"/>
  <c r="C303"/>
  <c r="B303"/>
  <c r="I298"/>
  <c r="H298"/>
  <c r="G298"/>
  <c r="F298"/>
  <c r="E298"/>
  <c r="D298"/>
  <c r="C298"/>
  <c r="B298"/>
  <c r="I307"/>
  <c r="H307"/>
  <c r="G307"/>
  <c r="F307"/>
  <c r="E307"/>
  <c r="D307"/>
  <c r="C307"/>
  <c r="B307"/>
  <c r="I304"/>
  <c r="H304"/>
  <c r="G304"/>
  <c r="F304"/>
  <c r="E304"/>
  <c r="D304"/>
  <c r="C304"/>
  <c r="B304"/>
  <c r="I317"/>
  <c r="H317"/>
  <c r="G317"/>
  <c r="F317"/>
  <c r="E317"/>
  <c r="D317"/>
  <c r="C317"/>
  <c r="B317"/>
  <c r="I310"/>
  <c r="H310"/>
  <c r="G310"/>
  <c r="F310"/>
  <c r="E310"/>
  <c r="D310"/>
  <c r="C310"/>
  <c r="B310"/>
  <c r="I309"/>
  <c r="H309"/>
  <c r="G309"/>
  <c r="F309"/>
  <c r="E309"/>
  <c r="D309"/>
  <c r="C309"/>
  <c r="B309"/>
  <c r="I296"/>
  <c r="H296"/>
  <c r="G296"/>
  <c r="F296"/>
  <c r="E296"/>
  <c r="D296"/>
  <c r="C296"/>
  <c r="B296"/>
  <c r="I312"/>
  <c r="H312"/>
  <c r="G312"/>
  <c r="F312"/>
  <c r="E312"/>
  <c r="D312"/>
  <c r="C312"/>
  <c r="B312"/>
  <c r="I316"/>
  <c r="H316"/>
  <c r="G316"/>
  <c r="F316"/>
  <c r="E316"/>
  <c r="D316"/>
  <c r="C316"/>
  <c r="B316"/>
  <c r="I299"/>
  <c r="H299"/>
  <c r="G299"/>
  <c r="F299"/>
  <c r="E299"/>
  <c r="D299"/>
  <c r="C299"/>
  <c r="B299"/>
  <c r="I297"/>
  <c r="H297"/>
  <c r="G297"/>
  <c r="F297"/>
  <c r="E297"/>
  <c r="D297"/>
  <c r="C297"/>
  <c r="B297"/>
  <c r="I315"/>
  <c r="H315"/>
  <c r="G315"/>
  <c r="F315"/>
  <c r="E315"/>
  <c r="D315"/>
  <c r="C315"/>
  <c r="B315"/>
  <c r="I308"/>
  <c r="H308"/>
  <c r="G308"/>
  <c r="F308"/>
  <c r="E308"/>
  <c r="D308"/>
  <c r="C308"/>
  <c r="B308"/>
  <c r="I300"/>
  <c r="H300"/>
  <c r="G300"/>
  <c r="F300"/>
  <c r="E300"/>
  <c r="D300"/>
  <c r="C300"/>
  <c r="B300"/>
  <c r="I311"/>
  <c r="H311"/>
  <c r="G311"/>
  <c r="F311"/>
  <c r="E311"/>
  <c r="D311"/>
  <c r="C311"/>
  <c r="B311"/>
  <c r="I302"/>
  <c r="H302"/>
  <c r="G302"/>
  <c r="F302"/>
  <c r="E302"/>
  <c r="D302"/>
  <c r="C302"/>
  <c r="B302"/>
  <c r="I313"/>
  <c r="H313"/>
  <c r="G313"/>
  <c r="F313"/>
  <c r="E313"/>
  <c r="D313"/>
  <c r="C313"/>
  <c r="B313"/>
  <c r="I294"/>
  <c r="H294"/>
  <c r="G294"/>
  <c r="F294"/>
  <c r="E294"/>
  <c r="D294"/>
  <c r="C294"/>
  <c r="B294"/>
  <c r="I306"/>
  <c r="H306"/>
  <c r="G306"/>
  <c r="F306"/>
  <c r="E306"/>
  <c r="D306"/>
  <c r="C306"/>
  <c r="B306"/>
  <c r="I301"/>
  <c r="H301"/>
  <c r="G301"/>
  <c r="F301"/>
  <c r="E301"/>
  <c r="D301"/>
  <c r="C301"/>
  <c r="B301"/>
  <c r="I305"/>
  <c r="H305"/>
  <c r="G305"/>
  <c r="F305"/>
  <c r="E305"/>
  <c r="D305"/>
  <c r="C305"/>
  <c r="B305"/>
  <c r="I289"/>
  <c r="H289"/>
  <c r="G289"/>
  <c r="F289"/>
  <c r="E289"/>
  <c r="D289"/>
  <c r="C289"/>
  <c r="B289"/>
  <c r="I281"/>
  <c r="H281"/>
  <c r="G281"/>
  <c r="F281"/>
  <c r="E281"/>
  <c r="D281"/>
  <c r="C281"/>
  <c r="B281"/>
  <c r="I279"/>
  <c r="H279"/>
  <c r="G279"/>
  <c r="F279"/>
  <c r="E279"/>
  <c r="D279"/>
  <c r="C279"/>
  <c r="B279"/>
  <c r="I287"/>
  <c r="H287"/>
  <c r="G287"/>
  <c r="F287"/>
  <c r="E287"/>
  <c r="D287"/>
  <c r="C287"/>
  <c r="B287"/>
  <c r="I283"/>
  <c r="H283"/>
  <c r="G283"/>
  <c r="F283"/>
  <c r="E283"/>
  <c r="D283"/>
  <c r="C283"/>
  <c r="B283"/>
  <c r="I285"/>
  <c r="H285"/>
  <c r="G285"/>
  <c r="F285"/>
  <c r="E285"/>
  <c r="D285"/>
  <c r="C285"/>
  <c r="B285"/>
  <c r="I291"/>
  <c r="H291"/>
  <c r="G291"/>
  <c r="F291"/>
  <c r="E291"/>
  <c r="D291"/>
  <c r="C291"/>
  <c r="B291"/>
  <c r="I278"/>
  <c r="H278"/>
  <c r="G278"/>
  <c r="F278"/>
  <c r="E278"/>
  <c r="D278"/>
  <c r="C278"/>
  <c r="B278"/>
  <c r="I286"/>
  <c r="H286"/>
  <c r="G286"/>
  <c r="F286"/>
  <c r="E286"/>
  <c r="D286"/>
  <c r="C286"/>
  <c r="B286"/>
  <c r="I293"/>
  <c r="H293"/>
  <c r="G293"/>
  <c r="F293"/>
  <c r="E293"/>
  <c r="D293"/>
  <c r="C293"/>
  <c r="B293"/>
  <c r="I288"/>
  <c r="H288"/>
  <c r="G288"/>
  <c r="F288"/>
  <c r="E288"/>
  <c r="D288"/>
  <c r="C288"/>
  <c r="B288"/>
  <c r="I284"/>
  <c r="H284"/>
  <c r="G284"/>
  <c r="F284"/>
  <c r="E284"/>
  <c r="D284"/>
  <c r="C284"/>
  <c r="B284"/>
  <c r="I280"/>
  <c r="H280"/>
  <c r="G280"/>
  <c r="F280"/>
  <c r="E280"/>
  <c r="D280"/>
  <c r="C280"/>
  <c r="B280"/>
  <c r="I292"/>
  <c r="H292"/>
  <c r="G292"/>
  <c r="F292"/>
  <c r="E292"/>
  <c r="D292"/>
  <c r="C292"/>
  <c r="B292"/>
  <c r="I290"/>
  <c r="H290"/>
  <c r="G290"/>
  <c r="F290"/>
  <c r="E290"/>
  <c r="D290"/>
  <c r="C290"/>
  <c r="B290"/>
  <c r="I282"/>
  <c r="H282"/>
  <c r="G282"/>
  <c r="F282"/>
  <c r="E282"/>
  <c r="D282"/>
  <c r="C282"/>
  <c r="B282"/>
  <c r="I270"/>
  <c r="H270"/>
  <c r="G270"/>
  <c r="F270"/>
  <c r="E270"/>
  <c r="D270"/>
  <c r="C270"/>
  <c r="B270"/>
  <c r="I274"/>
  <c r="H274"/>
  <c r="G274"/>
  <c r="F274"/>
  <c r="E274"/>
  <c r="D274"/>
  <c r="C274"/>
  <c r="B274"/>
  <c r="I277"/>
  <c r="H277"/>
  <c r="G277"/>
  <c r="F277"/>
  <c r="E277"/>
  <c r="D277"/>
  <c r="C277"/>
  <c r="B277"/>
  <c r="I276"/>
  <c r="H276"/>
  <c r="G276"/>
  <c r="F276"/>
  <c r="E276"/>
  <c r="D276"/>
  <c r="C276"/>
  <c r="B276"/>
  <c r="I271"/>
  <c r="H271"/>
  <c r="G271"/>
  <c r="F271"/>
  <c r="E271"/>
  <c r="D271"/>
  <c r="C271"/>
  <c r="B271"/>
  <c r="I269"/>
  <c r="H269"/>
  <c r="G269"/>
  <c r="F269"/>
  <c r="E269"/>
  <c r="D269"/>
  <c r="C269"/>
  <c r="B269"/>
  <c r="I268"/>
  <c r="H268"/>
  <c r="G268"/>
  <c r="F268"/>
  <c r="E268"/>
  <c r="D268"/>
  <c r="C268"/>
  <c r="B268"/>
  <c r="I275"/>
  <c r="H275"/>
  <c r="G275"/>
  <c r="F275"/>
  <c r="E275"/>
  <c r="D275"/>
  <c r="C275"/>
  <c r="B275"/>
  <c r="I272"/>
  <c r="H272"/>
  <c r="G272"/>
  <c r="F272"/>
  <c r="E272"/>
  <c r="D272"/>
  <c r="C272"/>
  <c r="B272"/>
  <c r="I273"/>
  <c r="H273"/>
  <c r="G273"/>
  <c r="F273"/>
  <c r="E273"/>
  <c r="D273"/>
  <c r="C273"/>
  <c r="B273"/>
  <c r="I257"/>
  <c r="H257"/>
  <c r="G257"/>
  <c r="F257"/>
  <c r="E257"/>
  <c r="D257"/>
  <c r="C257"/>
  <c r="B257"/>
  <c r="I262"/>
  <c r="H262"/>
  <c r="G262"/>
  <c r="F262"/>
  <c r="E262"/>
  <c r="D262"/>
  <c r="C262"/>
  <c r="B262"/>
  <c r="I258"/>
  <c r="H258"/>
  <c r="G258"/>
  <c r="F258"/>
  <c r="E258"/>
  <c r="D258"/>
  <c r="C258"/>
  <c r="B258"/>
  <c r="I260"/>
  <c r="H260"/>
  <c r="G260"/>
  <c r="F260"/>
  <c r="E260"/>
  <c r="D260"/>
  <c r="C260"/>
  <c r="B260"/>
  <c r="I259"/>
  <c r="H259"/>
  <c r="G259"/>
  <c r="F259"/>
  <c r="E259"/>
  <c r="D259"/>
  <c r="C259"/>
  <c r="B259"/>
  <c r="I263"/>
  <c r="H263"/>
  <c r="G263"/>
  <c r="F263"/>
  <c r="E263"/>
  <c r="D263"/>
  <c r="C263"/>
  <c r="B263"/>
  <c r="I264"/>
  <c r="H264"/>
  <c r="G264"/>
  <c r="F264"/>
  <c r="E264"/>
  <c r="D264"/>
  <c r="C264"/>
  <c r="B264"/>
  <c r="I265"/>
  <c r="H265"/>
  <c r="G265"/>
  <c r="F265"/>
  <c r="E265"/>
  <c r="D265"/>
  <c r="C265"/>
  <c r="B265"/>
  <c r="I267"/>
  <c r="H267"/>
  <c r="G267"/>
  <c r="F267"/>
  <c r="E267"/>
  <c r="D267"/>
  <c r="C267"/>
  <c r="B267"/>
  <c r="I266"/>
  <c r="H266"/>
  <c r="G266"/>
  <c r="F266"/>
  <c r="E266"/>
  <c r="D266"/>
  <c r="C266"/>
  <c r="B266"/>
  <c r="I261"/>
  <c r="H261"/>
  <c r="G261"/>
  <c r="F261"/>
  <c r="E261"/>
  <c r="D261"/>
  <c r="C261"/>
  <c r="B261"/>
  <c r="I254"/>
  <c r="H254"/>
  <c r="G254"/>
  <c r="F254"/>
  <c r="E254"/>
  <c r="D254"/>
  <c r="C254"/>
  <c r="B254"/>
  <c r="I252"/>
  <c r="H252"/>
  <c r="G252"/>
  <c r="F252"/>
  <c r="E252"/>
  <c r="D252"/>
  <c r="C252"/>
  <c r="B252"/>
  <c r="I253"/>
  <c r="H253"/>
  <c r="G253"/>
  <c r="F253"/>
  <c r="E253"/>
  <c r="D253"/>
  <c r="C253"/>
  <c r="B253"/>
  <c r="I255"/>
  <c r="H255"/>
  <c r="G255"/>
  <c r="F255"/>
  <c r="E255"/>
  <c r="D255"/>
  <c r="C255"/>
  <c r="B255"/>
  <c r="I256"/>
  <c r="H256"/>
  <c r="G256"/>
  <c r="F256"/>
  <c r="E256"/>
  <c r="D256"/>
  <c r="C256"/>
  <c r="B256"/>
  <c r="I244"/>
  <c r="H244"/>
  <c r="G244"/>
  <c r="F244"/>
  <c r="E244"/>
  <c r="D244"/>
  <c r="C244"/>
  <c r="B244"/>
  <c r="I251"/>
  <c r="H251"/>
  <c r="G251"/>
  <c r="F251"/>
  <c r="E251"/>
  <c r="D251"/>
  <c r="C251"/>
  <c r="B251"/>
  <c r="I248"/>
  <c r="H248"/>
  <c r="G248"/>
  <c r="F248"/>
  <c r="E248"/>
  <c r="D248"/>
  <c r="C248"/>
  <c r="B248"/>
  <c r="I247"/>
  <c r="H247"/>
  <c r="G247"/>
  <c r="F247"/>
  <c r="E247"/>
  <c r="D247"/>
  <c r="C247"/>
  <c r="B247"/>
  <c r="I243"/>
  <c r="H243"/>
  <c r="G243"/>
  <c r="F243"/>
  <c r="E243"/>
  <c r="D243"/>
  <c r="C243"/>
  <c r="B243"/>
  <c r="I250"/>
  <c r="H250"/>
  <c r="G250"/>
  <c r="F250"/>
  <c r="E250"/>
  <c r="D250"/>
  <c r="C250"/>
  <c r="B250"/>
  <c r="I249"/>
  <c r="H249"/>
  <c r="G249"/>
  <c r="F249"/>
  <c r="E249"/>
  <c r="D249"/>
  <c r="C249"/>
  <c r="B249"/>
  <c r="I246"/>
  <c r="H246"/>
  <c r="G246"/>
  <c r="F246"/>
  <c r="E246"/>
  <c r="D246"/>
  <c r="C246"/>
  <c r="B246"/>
  <c r="I245"/>
  <c r="H245"/>
  <c r="G245"/>
  <c r="F245"/>
  <c r="E245"/>
  <c r="D245"/>
  <c r="C245"/>
  <c r="B245"/>
  <c r="I231"/>
  <c r="H231"/>
  <c r="G231"/>
  <c r="F231"/>
  <c r="E231"/>
  <c r="D231"/>
  <c r="C231"/>
  <c r="B231"/>
  <c r="I242"/>
  <c r="H242"/>
  <c r="G242"/>
  <c r="F242"/>
  <c r="E242"/>
  <c r="D242"/>
  <c r="C242"/>
  <c r="B242"/>
  <c r="I235"/>
  <c r="H235"/>
  <c r="G235"/>
  <c r="F235"/>
  <c r="E235"/>
  <c r="D235"/>
  <c r="C235"/>
  <c r="B235"/>
  <c r="I237"/>
  <c r="H237"/>
  <c r="G237"/>
  <c r="F237"/>
  <c r="E237"/>
  <c r="D237"/>
  <c r="C237"/>
  <c r="B237"/>
  <c r="I233"/>
  <c r="H233"/>
  <c r="G233"/>
  <c r="F233"/>
  <c r="E233"/>
  <c r="D233"/>
  <c r="C233"/>
  <c r="B233"/>
  <c r="I240"/>
  <c r="H240"/>
  <c r="G240"/>
  <c r="F240"/>
  <c r="E240"/>
  <c r="D240"/>
  <c r="C240"/>
  <c r="B240"/>
  <c r="I232"/>
  <c r="H232"/>
  <c r="G232"/>
  <c r="F232"/>
  <c r="E232"/>
  <c r="D232"/>
  <c r="C232"/>
  <c r="B232"/>
  <c r="I239"/>
  <c r="H239"/>
  <c r="G239"/>
  <c r="F239"/>
  <c r="E239"/>
  <c r="D239"/>
  <c r="C239"/>
  <c r="B239"/>
  <c r="I236"/>
  <c r="H236"/>
  <c r="G236"/>
  <c r="F236"/>
  <c r="E236"/>
  <c r="D236"/>
  <c r="C236"/>
  <c r="B236"/>
  <c r="I234"/>
  <c r="H234"/>
  <c r="G234"/>
  <c r="F234"/>
  <c r="E234"/>
  <c r="D234"/>
  <c r="C234"/>
  <c r="B234"/>
  <c r="I241"/>
  <c r="H241"/>
  <c r="G241"/>
  <c r="F241"/>
  <c r="E241"/>
  <c r="D241"/>
  <c r="C241"/>
  <c r="B241"/>
  <c r="I238"/>
  <c r="H238"/>
  <c r="G238"/>
  <c r="F238"/>
  <c r="E238"/>
  <c r="D238"/>
  <c r="C238"/>
  <c r="B238"/>
  <c r="I223"/>
  <c r="H223"/>
  <c r="G223"/>
  <c r="F223"/>
  <c r="E223"/>
  <c r="D223"/>
  <c r="C223"/>
  <c r="B223"/>
  <c r="I227"/>
  <c r="H227"/>
  <c r="G227"/>
  <c r="F227"/>
  <c r="E227"/>
  <c r="D227"/>
  <c r="C227"/>
  <c r="B227"/>
  <c r="I230"/>
  <c r="H230"/>
  <c r="G230"/>
  <c r="F230"/>
  <c r="E230"/>
  <c r="D230"/>
  <c r="C230"/>
  <c r="B230"/>
  <c r="I220"/>
  <c r="H220"/>
  <c r="G220"/>
  <c r="F220"/>
  <c r="E220"/>
  <c r="D220"/>
  <c r="C220"/>
  <c r="B220"/>
  <c r="I229"/>
  <c r="H229"/>
  <c r="G229"/>
  <c r="F229"/>
  <c r="E229"/>
  <c r="D229"/>
  <c r="C229"/>
  <c r="B229"/>
  <c r="I219"/>
  <c r="H219"/>
  <c r="G219"/>
  <c r="F219"/>
  <c r="E219"/>
  <c r="D219"/>
  <c r="C219"/>
  <c r="B219"/>
  <c r="I224"/>
  <c r="H224"/>
  <c r="G224"/>
  <c r="F224"/>
  <c r="E224"/>
  <c r="D224"/>
  <c r="C224"/>
  <c r="B224"/>
  <c r="I218"/>
  <c r="H218"/>
  <c r="G218"/>
  <c r="F218"/>
  <c r="E218"/>
  <c r="D218"/>
  <c r="C218"/>
  <c r="B218"/>
  <c r="I228"/>
  <c r="H228"/>
  <c r="G228"/>
  <c r="F228"/>
  <c r="E228"/>
  <c r="D228"/>
  <c r="C228"/>
  <c r="B228"/>
  <c r="I222"/>
  <c r="H222"/>
  <c r="G222"/>
  <c r="F222"/>
  <c r="E222"/>
  <c r="D222"/>
  <c r="C222"/>
  <c r="B222"/>
  <c r="I221"/>
  <c r="H221"/>
  <c r="G221"/>
  <c r="F221"/>
  <c r="E221"/>
  <c r="D221"/>
  <c r="C221"/>
  <c r="B221"/>
  <c r="I225"/>
  <c r="H225"/>
  <c r="G225"/>
  <c r="F225"/>
  <c r="E225"/>
  <c r="D225"/>
  <c r="C225"/>
  <c r="B225"/>
  <c r="I226"/>
  <c r="H226"/>
  <c r="G226"/>
  <c r="F226"/>
  <c r="E226"/>
  <c r="D226"/>
  <c r="C226"/>
  <c r="B226"/>
  <c r="I217"/>
  <c r="H217"/>
  <c r="G217"/>
  <c r="F217"/>
  <c r="E217"/>
  <c r="D217"/>
  <c r="C217"/>
  <c r="B217"/>
  <c r="I216"/>
  <c r="H216"/>
  <c r="G216"/>
  <c r="F216"/>
  <c r="E216"/>
  <c r="D216"/>
  <c r="C216"/>
  <c r="B216"/>
  <c r="I213"/>
  <c r="H213"/>
  <c r="G213"/>
  <c r="F213"/>
  <c r="E213"/>
  <c r="D213"/>
  <c r="C213"/>
  <c r="B213"/>
  <c r="I206"/>
  <c r="H206"/>
  <c r="G206"/>
  <c r="F206"/>
  <c r="E206"/>
  <c r="D206"/>
  <c r="C206"/>
  <c r="B206"/>
  <c r="I212"/>
  <c r="H212"/>
  <c r="G212"/>
  <c r="F212"/>
  <c r="E212"/>
  <c r="D212"/>
  <c r="C212"/>
  <c r="B212"/>
  <c r="I203"/>
  <c r="H203"/>
  <c r="G203"/>
  <c r="F203"/>
  <c r="E203"/>
  <c r="D203"/>
  <c r="C203"/>
  <c r="B203"/>
  <c r="I201"/>
  <c r="H201"/>
  <c r="G201"/>
  <c r="F201"/>
  <c r="E201"/>
  <c r="D201"/>
  <c r="C201"/>
  <c r="B201"/>
  <c r="I215"/>
  <c r="H215"/>
  <c r="G215"/>
  <c r="F215"/>
  <c r="E215"/>
  <c r="D215"/>
  <c r="C215"/>
  <c r="B215"/>
  <c r="I204"/>
  <c r="H204"/>
  <c r="G204"/>
  <c r="F204"/>
  <c r="E204"/>
  <c r="D204"/>
  <c r="C204"/>
  <c r="B204"/>
  <c r="I208"/>
  <c r="H208"/>
  <c r="G208"/>
  <c r="F208"/>
  <c r="E208"/>
  <c r="D208"/>
  <c r="C208"/>
  <c r="B208"/>
  <c r="I211"/>
  <c r="H211"/>
  <c r="G211"/>
  <c r="F211"/>
  <c r="E211"/>
  <c r="D211"/>
  <c r="C211"/>
  <c r="B211"/>
  <c r="I209"/>
  <c r="H209"/>
  <c r="G209"/>
  <c r="F209"/>
  <c r="E209"/>
  <c r="D209"/>
  <c r="C209"/>
  <c r="B209"/>
  <c r="I214"/>
  <c r="H214"/>
  <c r="G214"/>
  <c r="F214"/>
  <c r="E214"/>
  <c r="D214"/>
  <c r="C214"/>
  <c r="B214"/>
  <c r="I210"/>
  <c r="H210"/>
  <c r="G210"/>
  <c r="F210"/>
  <c r="E210"/>
  <c r="D210"/>
  <c r="C210"/>
  <c r="B210"/>
  <c r="I207"/>
  <c r="H207"/>
  <c r="G207"/>
  <c r="F207"/>
  <c r="E207"/>
  <c r="D207"/>
  <c r="C207"/>
  <c r="B207"/>
  <c r="I205"/>
  <c r="H205"/>
  <c r="G205"/>
  <c r="F205"/>
  <c r="E205"/>
  <c r="D205"/>
  <c r="C205"/>
  <c r="B205"/>
  <c r="I202"/>
  <c r="H202"/>
  <c r="G202"/>
  <c r="F202"/>
  <c r="E202"/>
  <c r="D202"/>
  <c r="C202"/>
  <c r="B202"/>
  <c r="I200"/>
  <c r="H200"/>
  <c r="G200"/>
  <c r="F200"/>
  <c r="E200"/>
  <c r="D200"/>
  <c r="C200"/>
  <c r="B200"/>
  <c r="I199"/>
  <c r="H199"/>
  <c r="G199"/>
  <c r="F199"/>
  <c r="E199"/>
  <c r="D199"/>
  <c r="C199"/>
  <c r="B199"/>
  <c r="I196"/>
  <c r="H196"/>
  <c r="G196"/>
  <c r="F196"/>
  <c r="E196"/>
  <c r="D196"/>
  <c r="C196"/>
  <c r="B196"/>
  <c r="I194"/>
  <c r="H194"/>
  <c r="G194"/>
  <c r="F194"/>
  <c r="E194"/>
  <c r="D194"/>
  <c r="C194"/>
  <c r="B194"/>
  <c r="I193"/>
  <c r="H193"/>
  <c r="G193"/>
  <c r="F193"/>
  <c r="E193"/>
  <c r="D193"/>
  <c r="C193"/>
  <c r="B193"/>
  <c r="I197"/>
  <c r="H197"/>
  <c r="G197"/>
  <c r="F197"/>
  <c r="E197"/>
  <c r="D197"/>
  <c r="C197"/>
  <c r="B197"/>
  <c r="I192"/>
  <c r="H192"/>
  <c r="G192"/>
  <c r="F192"/>
  <c r="E192"/>
  <c r="D192"/>
  <c r="C192"/>
  <c r="B192"/>
  <c r="I198"/>
  <c r="H198"/>
  <c r="G198"/>
  <c r="F198"/>
  <c r="E198"/>
  <c r="D198"/>
  <c r="C198"/>
  <c r="B198"/>
  <c r="I195"/>
  <c r="H195"/>
  <c r="G195"/>
  <c r="F195"/>
  <c r="E195"/>
  <c r="D195"/>
  <c r="C195"/>
  <c r="B195"/>
  <c r="I189"/>
  <c r="H189"/>
  <c r="G189"/>
  <c r="F189"/>
  <c r="E189"/>
  <c r="D189"/>
  <c r="C189"/>
  <c r="B189"/>
  <c r="I190"/>
  <c r="H190"/>
  <c r="G190"/>
  <c r="F190"/>
  <c r="E190"/>
  <c r="D190"/>
  <c r="C190"/>
  <c r="B190"/>
  <c r="I191"/>
  <c r="H191"/>
  <c r="G191"/>
  <c r="F191"/>
  <c r="E191"/>
  <c r="D191"/>
  <c r="C191"/>
  <c r="B191"/>
  <c r="I186"/>
  <c r="H186"/>
  <c r="G186"/>
  <c r="F186"/>
  <c r="E186"/>
  <c r="D186"/>
  <c r="C186"/>
  <c r="B186"/>
  <c r="I187"/>
  <c r="H187"/>
  <c r="G187"/>
  <c r="F187"/>
  <c r="E187"/>
  <c r="D187"/>
  <c r="C187"/>
  <c r="B187"/>
  <c r="I180"/>
  <c r="H180"/>
  <c r="G180"/>
  <c r="F180"/>
  <c r="E180"/>
  <c r="D180"/>
  <c r="C180"/>
  <c r="B180"/>
  <c r="I182"/>
  <c r="H182"/>
  <c r="G182"/>
  <c r="F182"/>
  <c r="E182"/>
  <c r="D182"/>
  <c r="C182"/>
  <c r="B182"/>
  <c r="I183"/>
  <c r="H183"/>
  <c r="G183"/>
  <c r="F183"/>
  <c r="E183"/>
  <c r="D183"/>
  <c r="C183"/>
  <c r="B183"/>
  <c r="I185"/>
  <c r="H185"/>
  <c r="G185"/>
  <c r="F185"/>
  <c r="E185"/>
  <c r="D185"/>
  <c r="C185"/>
  <c r="B185"/>
  <c r="I184"/>
  <c r="H184"/>
  <c r="G184"/>
  <c r="F184"/>
  <c r="E184"/>
  <c r="D184"/>
  <c r="C184"/>
  <c r="B184"/>
  <c r="I188"/>
  <c r="H188"/>
  <c r="G188"/>
  <c r="F188"/>
  <c r="E188"/>
  <c r="D188"/>
  <c r="C188"/>
  <c r="B188"/>
  <c r="I179"/>
  <c r="H179"/>
  <c r="G179"/>
  <c r="F179"/>
  <c r="E179"/>
  <c r="D179"/>
  <c r="C179"/>
  <c r="B179"/>
  <c r="I181"/>
  <c r="H181"/>
  <c r="G181"/>
  <c r="F181"/>
  <c r="E181"/>
  <c r="D181"/>
  <c r="C181"/>
  <c r="B181"/>
  <c r="I175"/>
  <c r="H175"/>
  <c r="G175"/>
  <c r="F175"/>
  <c r="E175"/>
  <c r="D175"/>
  <c r="C175"/>
  <c r="B175"/>
  <c r="I176"/>
  <c r="H176"/>
  <c r="G176"/>
  <c r="F176"/>
  <c r="E176"/>
  <c r="D176"/>
  <c r="C176"/>
  <c r="B176"/>
  <c r="I178"/>
  <c r="H178"/>
  <c r="G178"/>
  <c r="F178"/>
  <c r="E178"/>
  <c r="D178"/>
  <c r="C178"/>
  <c r="B178"/>
  <c r="I173"/>
  <c r="H173"/>
  <c r="G173"/>
  <c r="F173"/>
  <c r="E173"/>
  <c r="D173"/>
  <c r="C173"/>
  <c r="B173"/>
  <c r="I168"/>
  <c r="H168"/>
  <c r="G168"/>
  <c r="F168"/>
  <c r="E168"/>
  <c r="D168"/>
  <c r="C168"/>
  <c r="B168"/>
  <c r="I169"/>
  <c r="H169"/>
  <c r="G169"/>
  <c r="F169"/>
  <c r="E169"/>
  <c r="D169"/>
  <c r="C169"/>
  <c r="B169"/>
  <c r="I171"/>
  <c r="H171"/>
  <c r="G171"/>
  <c r="F171"/>
  <c r="E171"/>
  <c r="D171"/>
  <c r="C171"/>
  <c r="B171"/>
  <c r="I174"/>
  <c r="H174"/>
  <c r="G174"/>
  <c r="F174"/>
  <c r="E174"/>
  <c r="D174"/>
  <c r="C174"/>
  <c r="B174"/>
  <c r="I177"/>
  <c r="H177"/>
  <c r="G177"/>
  <c r="F177"/>
  <c r="E177"/>
  <c r="D177"/>
  <c r="C177"/>
  <c r="B177"/>
  <c r="I172"/>
  <c r="H172"/>
  <c r="G172"/>
  <c r="F172"/>
  <c r="E172"/>
  <c r="D172"/>
  <c r="C172"/>
  <c r="B172"/>
  <c r="I170"/>
  <c r="H170"/>
  <c r="G170"/>
  <c r="F170"/>
  <c r="E170"/>
  <c r="D170"/>
  <c r="C170"/>
  <c r="B170"/>
  <c r="I163"/>
  <c r="H163"/>
  <c r="G163"/>
  <c r="F163"/>
  <c r="E163"/>
  <c r="D163"/>
  <c r="C163"/>
  <c r="B163"/>
  <c r="I158"/>
  <c r="H158"/>
  <c r="G158"/>
  <c r="F158"/>
  <c r="E158"/>
  <c r="D158"/>
  <c r="C158"/>
  <c r="B158"/>
  <c r="I164"/>
  <c r="H164"/>
  <c r="G164"/>
  <c r="F164"/>
  <c r="E164"/>
  <c r="D164"/>
  <c r="C164"/>
  <c r="B164"/>
  <c r="I157"/>
  <c r="H157"/>
  <c r="G157"/>
  <c r="F157"/>
  <c r="E157"/>
  <c r="D157"/>
  <c r="C157"/>
  <c r="B157"/>
  <c r="I160"/>
  <c r="H160"/>
  <c r="G160"/>
  <c r="F160"/>
  <c r="E160"/>
  <c r="D160"/>
  <c r="C160"/>
  <c r="B160"/>
  <c r="I162"/>
  <c r="H162"/>
  <c r="G162"/>
  <c r="F162"/>
  <c r="E162"/>
  <c r="D162"/>
  <c r="C162"/>
  <c r="B162"/>
  <c r="I156"/>
  <c r="H156"/>
  <c r="G156"/>
  <c r="F156"/>
  <c r="E156"/>
  <c r="D156"/>
  <c r="C156"/>
  <c r="B156"/>
  <c r="I161"/>
  <c r="H161"/>
  <c r="G161"/>
  <c r="F161"/>
  <c r="E161"/>
  <c r="D161"/>
  <c r="C161"/>
  <c r="B161"/>
  <c r="I167"/>
  <c r="H167"/>
  <c r="G167"/>
  <c r="F167"/>
  <c r="E167"/>
  <c r="D167"/>
  <c r="C167"/>
  <c r="B167"/>
  <c r="I166"/>
  <c r="H166"/>
  <c r="G166"/>
  <c r="F166"/>
  <c r="E166"/>
  <c r="D166"/>
  <c r="C166"/>
  <c r="B166"/>
  <c r="I165"/>
  <c r="H165"/>
  <c r="G165"/>
  <c r="F165"/>
  <c r="E165"/>
  <c r="D165"/>
  <c r="C165"/>
  <c r="B165"/>
  <c r="I159"/>
  <c r="H159"/>
  <c r="G159"/>
  <c r="F159"/>
  <c r="E159"/>
  <c r="D159"/>
  <c r="C159"/>
  <c r="B159"/>
  <c r="I155"/>
  <c r="H155"/>
  <c r="G155"/>
  <c r="F155"/>
  <c r="E155"/>
  <c r="D155"/>
  <c r="C155"/>
  <c r="B155"/>
  <c r="I148"/>
  <c r="H148"/>
  <c r="G148"/>
  <c r="F148"/>
  <c r="E148"/>
  <c r="D148"/>
  <c r="C148"/>
  <c r="B148"/>
  <c r="I150"/>
  <c r="H150"/>
  <c r="G150"/>
  <c r="F150"/>
  <c r="E150"/>
  <c r="D150"/>
  <c r="C150"/>
  <c r="B150"/>
  <c r="I152"/>
  <c r="H152"/>
  <c r="G152"/>
  <c r="F152"/>
  <c r="E152"/>
  <c r="D152"/>
  <c r="C152"/>
  <c r="B152"/>
  <c r="I153"/>
  <c r="H153"/>
  <c r="G153"/>
  <c r="F153"/>
  <c r="E153"/>
  <c r="D153"/>
  <c r="C153"/>
  <c r="B153"/>
  <c r="I151"/>
  <c r="H151"/>
  <c r="G151"/>
  <c r="F151"/>
  <c r="E151"/>
  <c r="D151"/>
  <c r="C151"/>
  <c r="B151"/>
  <c r="I154"/>
  <c r="H154"/>
  <c r="G154"/>
  <c r="F154"/>
  <c r="E154"/>
  <c r="D154"/>
  <c r="C154"/>
  <c r="B154"/>
  <c r="I149"/>
  <c r="H149"/>
  <c r="G149"/>
  <c r="F149"/>
  <c r="E149"/>
  <c r="D149"/>
  <c r="C149"/>
  <c r="B149"/>
  <c r="I140"/>
  <c r="H140"/>
  <c r="G140"/>
  <c r="F140"/>
  <c r="E140"/>
  <c r="D140"/>
  <c r="C140"/>
  <c r="B140"/>
  <c r="I133"/>
  <c r="H133"/>
  <c r="G133"/>
  <c r="F133"/>
  <c r="E133"/>
  <c r="D133"/>
  <c r="C133"/>
  <c r="B133"/>
  <c r="I144"/>
  <c r="H144"/>
  <c r="G144"/>
  <c r="F144"/>
  <c r="E144"/>
  <c r="D144"/>
  <c r="C144"/>
  <c r="B144"/>
  <c r="I136"/>
  <c r="H136"/>
  <c r="G136"/>
  <c r="F136"/>
  <c r="E136"/>
  <c r="D136"/>
  <c r="C136"/>
  <c r="B136"/>
  <c r="I127"/>
  <c r="H127"/>
  <c r="G127"/>
  <c r="F127"/>
  <c r="E127"/>
  <c r="D127"/>
  <c r="C127"/>
  <c r="B127"/>
  <c r="I138"/>
  <c r="H138"/>
  <c r="G138"/>
  <c r="F138"/>
  <c r="E138"/>
  <c r="D138"/>
  <c r="C138"/>
  <c r="B138"/>
  <c r="I134"/>
  <c r="H134"/>
  <c r="G134"/>
  <c r="F134"/>
  <c r="E134"/>
  <c r="D134"/>
  <c r="C134"/>
  <c r="B134"/>
  <c r="I142"/>
  <c r="H142"/>
  <c r="G142"/>
  <c r="F142"/>
  <c r="E142"/>
  <c r="D142"/>
  <c r="C142"/>
  <c r="B142"/>
  <c r="I129"/>
  <c r="H129"/>
  <c r="F129"/>
  <c r="E129"/>
  <c r="D129"/>
  <c r="C129"/>
  <c r="B129"/>
  <c r="I147"/>
  <c r="H147"/>
  <c r="G147"/>
  <c r="F147"/>
  <c r="E147"/>
  <c r="D147"/>
  <c r="C147"/>
  <c r="B147"/>
  <c r="I137"/>
  <c r="H137"/>
  <c r="G137"/>
  <c r="F137"/>
  <c r="E137"/>
  <c r="D137"/>
  <c r="C137"/>
  <c r="B137"/>
  <c r="I143"/>
  <c r="H143"/>
  <c r="G143"/>
  <c r="F143"/>
  <c r="E143"/>
  <c r="D143"/>
  <c r="C143"/>
  <c r="B143"/>
  <c r="I132"/>
  <c r="H132"/>
  <c r="G132"/>
  <c r="F132"/>
  <c r="E132"/>
  <c r="D132"/>
  <c r="C132"/>
  <c r="B132"/>
  <c r="I145"/>
  <c r="H145"/>
  <c r="G145"/>
  <c r="F145"/>
  <c r="E145"/>
  <c r="D145"/>
  <c r="C145"/>
  <c r="B145"/>
  <c r="I135"/>
  <c r="H135"/>
  <c r="G135"/>
  <c r="F135"/>
  <c r="E135"/>
  <c r="D135"/>
  <c r="C135"/>
  <c r="B135"/>
  <c r="I128"/>
  <c r="H128"/>
  <c r="G128"/>
  <c r="F128"/>
  <c r="E128"/>
  <c r="D128"/>
  <c r="C128"/>
  <c r="B128"/>
  <c r="I146"/>
  <c r="H146"/>
  <c r="G146"/>
  <c r="F146"/>
  <c r="E146"/>
  <c r="D146"/>
  <c r="C146"/>
  <c r="B146"/>
  <c r="I131"/>
  <c r="H131"/>
  <c r="G131"/>
  <c r="F131"/>
  <c r="E131"/>
  <c r="D131"/>
  <c r="C131"/>
  <c r="B131"/>
  <c r="I130"/>
  <c r="H130"/>
  <c r="G130"/>
  <c r="F130"/>
  <c r="E130"/>
  <c r="D130"/>
  <c r="C130"/>
  <c r="B130"/>
  <c r="I141"/>
  <c r="H141"/>
  <c r="G141"/>
  <c r="F141"/>
  <c r="E141"/>
  <c r="D141"/>
  <c r="C141"/>
  <c r="B141"/>
  <c r="I139"/>
  <c r="H139"/>
  <c r="G139"/>
  <c r="F139"/>
  <c r="E139"/>
  <c r="D139"/>
  <c r="C139"/>
  <c r="B139"/>
  <c r="I116"/>
  <c r="H116"/>
  <c r="G116"/>
  <c r="F116"/>
  <c r="E116"/>
  <c r="D116"/>
  <c r="C116"/>
  <c r="B116"/>
  <c r="I118"/>
  <c r="H118"/>
  <c r="G118"/>
  <c r="F118"/>
  <c r="E118"/>
  <c r="D118"/>
  <c r="C118"/>
  <c r="B118"/>
  <c r="I109"/>
  <c r="H109"/>
  <c r="G109"/>
  <c r="F109"/>
  <c r="E109"/>
  <c r="D109"/>
  <c r="C109"/>
  <c r="B109"/>
  <c r="I122"/>
  <c r="H122"/>
  <c r="G122"/>
  <c r="F122"/>
  <c r="E122"/>
  <c r="D122"/>
  <c r="C122"/>
  <c r="B122"/>
  <c r="I123"/>
  <c r="H123"/>
  <c r="G123"/>
  <c r="F123"/>
  <c r="E123"/>
  <c r="D123"/>
  <c r="C123"/>
  <c r="B123"/>
  <c r="I113"/>
  <c r="H113"/>
  <c r="F113"/>
  <c r="E113"/>
  <c r="D113"/>
  <c r="C113"/>
  <c r="B113"/>
  <c r="I117"/>
  <c r="H117"/>
  <c r="G117"/>
  <c r="F117"/>
  <c r="E117"/>
  <c r="D117"/>
  <c r="C117"/>
  <c r="B117"/>
  <c r="I125"/>
  <c r="H125"/>
  <c r="G125"/>
  <c r="F125"/>
  <c r="E125"/>
  <c r="D125"/>
  <c r="C125"/>
  <c r="B125"/>
  <c r="I108"/>
  <c r="H108"/>
  <c r="G108"/>
  <c r="F108"/>
  <c r="E108"/>
  <c r="D108"/>
  <c r="C108"/>
  <c r="B108"/>
  <c r="I119"/>
  <c r="H119"/>
  <c r="G119"/>
  <c r="F119"/>
  <c r="E119"/>
  <c r="D119"/>
  <c r="C119"/>
  <c r="B119"/>
  <c r="I114"/>
  <c r="H114"/>
  <c r="G114"/>
  <c r="F114"/>
  <c r="E114"/>
  <c r="D114"/>
  <c r="C114"/>
  <c r="B114"/>
  <c r="I120"/>
  <c r="H120"/>
  <c r="G120"/>
  <c r="F120"/>
  <c r="E120"/>
  <c r="D120"/>
  <c r="C120"/>
  <c r="B120"/>
  <c r="I121"/>
  <c r="H121"/>
  <c r="G121"/>
  <c r="F121"/>
  <c r="E121"/>
  <c r="D121"/>
  <c r="C121"/>
  <c r="B121"/>
  <c r="I126"/>
  <c r="H126"/>
  <c r="G126"/>
  <c r="F126"/>
  <c r="E126"/>
  <c r="D126"/>
  <c r="C126"/>
  <c r="B126"/>
  <c r="I124"/>
  <c r="H124"/>
  <c r="G124"/>
  <c r="F124"/>
  <c r="E124"/>
  <c r="D124"/>
  <c r="C124"/>
  <c r="B124"/>
  <c r="I110"/>
  <c r="H110"/>
  <c r="G110"/>
  <c r="F110"/>
  <c r="E110"/>
  <c r="D110"/>
  <c r="C110"/>
  <c r="B110"/>
  <c r="I111"/>
  <c r="H111"/>
  <c r="G111"/>
  <c r="F111"/>
  <c r="E111"/>
  <c r="D111"/>
  <c r="C111"/>
  <c r="B111"/>
  <c r="I112"/>
  <c r="H112"/>
  <c r="G112"/>
  <c r="F112"/>
  <c r="E112"/>
  <c r="D112"/>
  <c r="C112"/>
  <c r="B112"/>
  <c r="I115"/>
  <c r="H115"/>
  <c r="G115"/>
  <c r="F115"/>
  <c r="E115"/>
  <c r="D115"/>
  <c r="C115"/>
  <c r="B115"/>
  <c r="I98"/>
  <c r="H98"/>
  <c r="G98"/>
  <c r="F98"/>
  <c r="E98"/>
  <c r="D98"/>
  <c r="C98"/>
  <c r="B98"/>
  <c r="I94"/>
  <c r="H94"/>
  <c r="G94"/>
  <c r="F94"/>
  <c r="E94"/>
  <c r="D94"/>
  <c r="C94"/>
  <c r="B94"/>
  <c r="I84"/>
  <c r="H84"/>
  <c r="G84"/>
  <c r="F84"/>
  <c r="E84"/>
  <c r="D84"/>
  <c r="C84"/>
  <c r="B84"/>
  <c r="I81"/>
  <c r="H81"/>
  <c r="G81"/>
  <c r="F81"/>
  <c r="E81"/>
  <c r="D81"/>
  <c r="C81"/>
  <c r="B81"/>
  <c r="I93"/>
  <c r="H93"/>
  <c r="G93"/>
  <c r="F93"/>
  <c r="E93"/>
  <c r="D93"/>
  <c r="C93"/>
  <c r="B93"/>
  <c r="I82"/>
  <c r="H82"/>
  <c r="G82"/>
  <c r="F82"/>
  <c r="E82"/>
  <c r="D82"/>
  <c r="C82"/>
  <c r="B82"/>
  <c r="I83"/>
  <c r="H83"/>
  <c r="G83"/>
  <c r="F83"/>
  <c r="E83"/>
  <c r="D83"/>
  <c r="C83"/>
  <c r="B83"/>
  <c r="I85"/>
  <c r="H85"/>
  <c r="G85"/>
  <c r="F85"/>
  <c r="E85"/>
  <c r="D85"/>
  <c r="C85"/>
  <c r="B85"/>
  <c r="I88"/>
  <c r="H88"/>
  <c r="G88"/>
  <c r="F88"/>
  <c r="E88"/>
  <c r="D88"/>
  <c r="C88"/>
  <c r="B88"/>
  <c r="I89"/>
  <c r="H89"/>
  <c r="G89"/>
  <c r="F89"/>
  <c r="E89"/>
  <c r="D89"/>
  <c r="C89"/>
  <c r="B89"/>
  <c r="I86"/>
  <c r="H86"/>
  <c r="G86"/>
  <c r="F86"/>
  <c r="E86"/>
  <c r="D86"/>
  <c r="C86"/>
  <c r="B86"/>
  <c r="I99"/>
  <c r="H99"/>
  <c r="G99"/>
  <c r="F99"/>
  <c r="E99"/>
  <c r="D99"/>
  <c r="C99"/>
  <c r="B99"/>
  <c r="I103"/>
  <c r="H103"/>
  <c r="G103"/>
  <c r="F103"/>
  <c r="E103"/>
  <c r="D103"/>
  <c r="C103"/>
  <c r="B103"/>
  <c r="I100"/>
  <c r="H100"/>
  <c r="G100"/>
  <c r="F100"/>
  <c r="E100"/>
  <c r="D100"/>
  <c r="C100"/>
  <c r="B100"/>
  <c r="I107"/>
  <c r="H107"/>
  <c r="G107"/>
  <c r="F107"/>
  <c r="E107"/>
  <c r="D107"/>
  <c r="C107"/>
  <c r="B107"/>
  <c r="I87"/>
  <c r="H87"/>
  <c r="G87"/>
  <c r="F87"/>
  <c r="E87"/>
  <c r="D87"/>
  <c r="C87"/>
  <c r="B87"/>
  <c r="I97"/>
  <c r="H97"/>
  <c r="F97"/>
  <c r="E97"/>
  <c r="D97"/>
  <c r="C97"/>
  <c r="B97"/>
  <c r="I78"/>
  <c r="H78"/>
  <c r="G78"/>
  <c r="F78"/>
  <c r="E78"/>
  <c r="D78"/>
  <c r="C78"/>
  <c r="B78"/>
  <c r="I105"/>
  <c r="H105"/>
  <c r="G105"/>
  <c r="F105"/>
  <c r="E105"/>
  <c r="D105"/>
  <c r="C105"/>
  <c r="B105"/>
  <c r="I92"/>
  <c r="H92"/>
  <c r="G92"/>
  <c r="F92"/>
  <c r="E92"/>
  <c r="D92"/>
  <c r="C92"/>
  <c r="B92"/>
  <c r="I101"/>
  <c r="H101"/>
  <c r="F101"/>
  <c r="E101"/>
  <c r="D101"/>
  <c r="C101"/>
  <c r="B101"/>
  <c r="I96"/>
  <c r="H96"/>
  <c r="G96"/>
  <c r="F96"/>
  <c r="E96"/>
  <c r="D96"/>
  <c r="C96"/>
  <c r="B96"/>
  <c r="I95"/>
  <c r="H95"/>
  <c r="G95"/>
  <c r="F95"/>
  <c r="E95"/>
  <c r="D95"/>
  <c r="C95"/>
  <c r="B95"/>
  <c r="I106"/>
  <c r="H106"/>
  <c r="G106"/>
  <c r="F106"/>
  <c r="E106"/>
  <c r="D106"/>
  <c r="C106"/>
  <c r="B106"/>
  <c r="I90"/>
  <c r="H90"/>
  <c r="G90"/>
  <c r="F90"/>
  <c r="E90"/>
  <c r="D90"/>
  <c r="C90"/>
  <c r="B90"/>
  <c r="I91"/>
  <c r="H91"/>
  <c r="G91"/>
  <c r="F91"/>
  <c r="E91"/>
  <c r="D91"/>
  <c r="C91"/>
  <c r="B91"/>
  <c r="I102"/>
  <c r="H102"/>
  <c r="G102"/>
  <c r="F102"/>
  <c r="E102"/>
  <c r="D102"/>
  <c r="C102"/>
  <c r="B102"/>
  <c r="I79"/>
  <c r="H79"/>
  <c r="G79"/>
  <c r="F79"/>
  <c r="E79"/>
  <c r="D79"/>
  <c r="C79"/>
  <c r="B79"/>
  <c r="I80"/>
  <c r="H80"/>
  <c r="G80"/>
  <c r="F80"/>
  <c r="E80"/>
  <c r="D80"/>
  <c r="C80"/>
  <c r="B80"/>
  <c r="I104"/>
  <c r="H104"/>
  <c r="G104"/>
  <c r="F104"/>
  <c r="E104"/>
  <c r="D104"/>
  <c r="C104"/>
  <c r="B104"/>
  <c r="I63"/>
  <c r="H63"/>
  <c r="G63"/>
  <c r="F63"/>
  <c r="E63"/>
  <c r="D63"/>
  <c r="C63"/>
  <c r="B63"/>
  <c r="I77"/>
  <c r="H77"/>
  <c r="G77"/>
  <c r="F77"/>
  <c r="E77"/>
  <c r="D77"/>
  <c r="C77"/>
  <c r="B77"/>
  <c r="I67"/>
  <c r="H67"/>
  <c r="G67"/>
  <c r="F67"/>
  <c r="E67"/>
  <c r="D67"/>
  <c r="C67"/>
  <c r="B67"/>
  <c r="I74"/>
  <c r="H74"/>
  <c r="G74"/>
  <c r="F74"/>
  <c r="E74"/>
  <c r="D74"/>
  <c r="C74"/>
  <c r="B74"/>
  <c r="I66"/>
  <c r="H66"/>
  <c r="G66"/>
  <c r="F66"/>
  <c r="E66"/>
  <c r="D66"/>
  <c r="C66"/>
  <c r="B66"/>
  <c r="I57"/>
  <c r="H57"/>
  <c r="G57"/>
  <c r="F57"/>
  <c r="E57"/>
  <c r="D57"/>
  <c r="C57"/>
  <c r="B57"/>
  <c r="I56"/>
  <c r="H56"/>
  <c r="G56"/>
  <c r="F56"/>
  <c r="E56"/>
  <c r="D56"/>
  <c r="C56"/>
  <c r="B56"/>
  <c r="I55"/>
  <c r="H55"/>
  <c r="G55"/>
  <c r="F55"/>
  <c r="E55"/>
  <c r="D55"/>
  <c r="C55"/>
  <c r="B55"/>
  <c r="I59"/>
  <c r="H59"/>
  <c r="G59"/>
  <c r="F59"/>
  <c r="E59"/>
  <c r="D59"/>
  <c r="C59"/>
  <c r="B59"/>
  <c r="I60"/>
  <c r="H60"/>
  <c r="G60"/>
  <c r="F60"/>
  <c r="E60"/>
  <c r="D60"/>
  <c r="C60"/>
  <c r="B60"/>
  <c r="I75"/>
  <c r="H75"/>
  <c r="G75"/>
  <c r="F75"/>
  <c r="E75"/>
  <c r="D75"/>
  <c r="C75"/>
  <c r="B75"/>
  <c r="I71"/>
  <c r="H71"/>
  <c r="G71"/>
  <c r="F71"/>
  <c r="E71"/>
  <c r="D71"/>
  <c r="C71"/>
  <c r="B71"/>
  <c r="I72"/>
  <c r="H72"/>
  <c r="G72"/>
  <c r="F72"/>
  <c r="E72"/>
  <c r="D72"/>
  <c r="C72"/>
  <c r="B72"/>
  <c r="I62"/>
  <c r="H62"/>
  <c r="G62"/>
  <c r="F62"/>
  <c r="E62"/>
  <c r="D62"/>
  <c r="C62"/>
  <c r="B62"/>
  <c r="I73"/>
  <c r="H73"/>
  <c r="G73"/>
  <c r="F73"/>
  <c r="E73"/>
  <c r="D73"/>
  <c r="C73"/>
  <c r="B73"/>
  <c r="I69"/>
  <c r="H69"/>
  <c r="G69"/>
  <c r="F69"/>
  <c r="E69"/>
  <c r="D69"/>
  <c r="C69"/>
  <c r="B69"/>
  <c r="I68"/>
  <c r="H68"/>
  <c r="G68"/>
  <c r="F68"/>
  <c r="E68"/>
  <c r="D68"/>
  <c r="C68"/>
  <c r="B68"/>
  <c r="I64"/>
  <c r="H64"/>
  <c r="G64"/>
  <c r="F64"/>
  <c r="E64"/>
  <c r="D64"/>
  <c r="C64"/>
  <c r="B64"/>
  <c r="I58"/>
  <c r="H58"/>
  <c r="G58"/>
  <c r="F58"/>
  <c r="E58"/>
  <c r="D58"/>
  <c r="C58"/>
  <c r="B58"/>
  <c r="I54"/>
  <c r="H54"/>
  <c r="G54"/>
  <c r="F54"/>
  <c r="E54"/>
  <c r="D54"/>
  <c r="C54"/>
  <c r="B54"/>
  <c r="I61"/>
  <c r="H61"/>
  <c r="G61"/>
  <c r="F61"/>
  <c r="E61"/>
  <c r="D61"/>
  <c r="C61"/>
  <c r="B61"/>
  <c r="I70"/>
  <c r="H70"/>
  <c r="G70"/>
  <c r="F70"/>
  <c r="E70"/>
  <c r="D70"/>
  <c r="C70"/>
  <c r="B70"/>
  <c r="I76"/>
  <c r="H76"/>
  <c r="G76"/>
  <c r="F76"/>
  <c r="E76"/>
  <c r="D76"/>
  <c r="C76"/>
  <c r="B76"/>
  <c r="I53"/>
  <c r="H53"/>
  <c r="G53"/>
  <c r="F53"/>
  <c r="E53"/>
  <c r="D53"/>
  <c r="C53"/>
  <c r="B53"/>
  <c r="I65"/>
  <c r="H65"/>
  <c r="G65"/>
  <c r="F65"/>
  <c r="E65"/>
  <c r="D65"/>
  <c r="C65"/>
  <c r="B65"/>
  <c r="I52"/>
  <c r="H52"/>
  <c r="G52"/>
  <c r="F52"/>
  <c r="E52"/>
  <c r="D52"/>
  <c r="C52"/>
  <c r="B52"/>
  <c r="I45"/>
  <c r="H45"/>
  <c r="G45"/>
  <c r="F45"/>
  <c r="E45"/>
  <c r="D45"/>
  <c r="C45"/>
  <c r="B45"/>
  <c r="I50"/>
  <c r="H50"/>
  <c r="G50"/>
  <c r="F50"/>
  <c r="E50"/>
  <c r="D50"/>
  <c r="C50"/>
  <c r="B50"/>
  <c r="I47"/>
  <c r="H47"/>
  <c r="G47"/>
  <c r="F47"/>
  <c r="E47"/>
  <c r="D47"/>
  <c r="C47"/>
  <c r="B47"/>
  <c r="I46"/>
  <c r="H46"/>
  <c r="G46"/>
  <c r="F46"/>
  <c r="E46"/>
  <c r="D46"/>
  <c r="C46"/>
  <c r="B46"/>
  <c r="I51"/>
  <c r="H51"/>
  <c r="G51"/>
  <c r="F51"/>
  <c r="E51"/>
  <c r="D51"/>
  <c r="C51"/>
  <c r="B51"/>
  <c r="I49"/>
  <c r="H49"/>
  <c r="G49"/>
  <c r="F49"/>
  <c r="E49"/>
  <c r="D49"/>
  <c r="C49"/>
  <c r="B49"/>
  <c r="I48"/>
  <c r="H48"/>
  <c r="G48"/>
  <c r="F48"/>
  <c r="E48"/>
  <c r="D48"/>
  <c r="C48"/>
  <c r="B48"/>
  <c r="I41"/>
  <c r="H41"/>
  <c r="G41"/>
  <c r="F41"/>
  <c r="E41"/>
  <c r="D41"/>
  <c r="C41"/>
  <c r="B41"/>
  <c r="I44"/>
  <c r="H44"/>
  <c r="G44"/>
  <c r="F44"/>
  <c r="E44"/>
  <c r="D44"/>
  <c r="C44"/>
  <c r="B44"/>
  <c r="I39"/>
  <c r="H39"/>
  <c r="G39"/>
  <c r="F39"/>
  <c r="E39"/>
  <c r="D39"/>
  <c r="C39"/>
  <c r="B39"/>
  <c r="I43"/>
  <c r="H43"/>
  <c r="G43"/>
  <c r="F43"/>
  <c r="E43"/>
  <c r="D43"/>
  <c r="C43"/>
  <c r="B43"/>
  <c r="I42"/>
  <c r="H42"/>
  <c r="G42"/>
  <c r="F42"/>
  <c r="E42"/>
  <c r="D42"/>
  <c r="C42"/>
  <c r="B42"/>
  <c r="I40"/>
  <c r="H40"/>
  <c r="G40"/>
  <c r="F40"/>
  <c r="E40"/>
  <c r="D40"/>
  <c r="C40"/>
  <c r="B40"/>
  <c r="I33"/>
  <c r="H33"/>
  <c r="G33"/>
  <c r="F33"/>
  <c r="E33"/>
  <c r="D33"/>
  <c r="C33"/>
  <c r="B33"/>
  <c r="I38"/>
  <c r="H38"/>
  <c r="G38"/>
  <c r="F38"/>
  <c r="E38"/>
  <c r="D38"/>
  <c r="C38"/>
  <c r="B38"/>
  <c r="I34"/>
  <c r="H34"/>
  <c r="F34"/>
  <c r="E34"/>
  <c r="D34"/>
  <c r="C34"/>
  <c r="B34"/>
  <c r="I37"/>
  <c r="H37"/>
  <c r="G37"/>
  <c r="F37"/>
  <c r="E37"/>
  <c r="D37"/>
  <c r="C37"/>
  <c r="B37"/>
  <c r="I36"/>
  <c r="H36"/>
  <c r="G36"/>
  <c r="F36"/>
  <c r="E36"/>
  <c r="D36"/>
  <c r="C36"/>
  <c r="B36"/>
  <c r="I35"/>
  <c r="H35"/>
  <c r="G35"/>
  <c r="F35"/>
  <c r="E35"/>
  <c r="D35"/>
  <c r="C35"/>
  <c r="B35"/>
  <c r="I29"/>
  <c r="H29"/>
  <c r="G29"/>
  <c r="F29"/>
  <c r="E29"/>
  <c r="D29"/>
  <c r="C29"/>
  <c r="B29"/>
  <c r="I24"/>
  <c r="H24"/>
  <c r="G24"/>
  <c r="F24"/>
  <c r="E24"/>
  <c r="D24"/>
  <c r="C24"/>
  <c r="B24"/>
  <c r="I26"/>
  <c r="H26"/>
  <c r="G26"/>
  <c r="F26"/>
  <c r="E26"/>
  <c r="D26"/>
  <c r="C26"/>
  <c r="B26"/>
  <c r="I27"/>
  <c r="H27"/>
  <c r="G27"/>
  <c r="F27"/>
  <c r="E27"/>
  <c r="D27"/>
  <c r="C27"/>
  <c r="B27"/>
  <c r="I23"/>
  <c r="H23"/>
  <c r="G23"/>
  <c r="F23"/>
  <c r="E23"/>
  <c r="D23"/>
  <c r="C23"/>
  <c r="B23"/>
  <c r="I22"/>
  <c r="H22"/>
  <c r="G22"/>
  <c r="F22"/>
  <c r="E22"/>
  <c r="D22"/>
  <c r="C22"/>
  <c r="B22"/>
  <c r="I21"/>
  <c r="H21"/>
  <c r="G21"/>
  <c r="F21"/>
  <c r="E21"/>
  <c r="D21"/>
  <c r="C21"/>
  <c r="B21"/>
  <c r="I25"/>
  <c r="H25"/>
  <c r="G25"/>
  <c r="F25"/>
  <c r="E25"/>
  <c r="D25"/>
  <c r="C25"/>
  <c r="B25"/>
  <c r="I28"/>
  <c r="H28"/>
  <c r="G28"/>
  <c r="F28"/>
  <c r="E28"/>
  <c r="D28"/>
  <c r="C28"/>
  <c r="B28"/>
  <c r="I30"/>
  <c r="H30"/>
  <c r="G30"/>
  <c r="F30"/>
  <c r="E30"/>
  <c r="D30"/>
  <c r="C30"/>
  <c r="B30"/>
  <c r="I31"/>
  <c r="H31"/>
  <c r="G31"/>
  <c r="F31"/>
  <c r="E31"/>
  <c r="D31"/>
  <c r="C31"/>
  <c r="B31"/>
  <c r="I32"/>
  <c r="H32"/>
  <c r="G32"/>
  <c r="F32"/>
  <c r="E32"/>
  <c r="D32"/>
  <c r="C32"/>
  <c r="B32"/>
  <c r="I20"/>
  <c r="H20"/>
  <c r="G20"/>
  <c r="F20"/>
  <c r="E20"/>
  <c r="D20"/>
  <c r="C20"/>
  <c r="B20"/>
  <c r="I14"/>
  <c r="H14"/>
  <c r="G14"/>
  <c r="F14"/>
  <c r="E14"/>
  <c r="D14"/>
  <c r="C14"/>
  <c r="B14"/>
  <c r="I8"/>
  <c r="H8"/>
  <c r="G8"/>
  <c r="F8"/>
  <c r="E8"/>
  <c r="D8"/>
  <c r="C8"/>
  <c r="B8"/>
  <c r="I5"/>
  <c r="H5"/>
  <c r="G5"/>
  <c r="F5"/>
  <c r="E5"/>
  <c r="D5"/>
  <c r="C5"/>
  <c r="B5"/>
  <c r="I7"/>
  <c r="H7"/>
  <c r="G7"/>
  <c r="F7"/>
  <c r="E7"/>
  <c r="D7"/>
  <c r="C7"/>
  <c r="B7"/>
  <c r="I15"/>
  <c r="H15"/>
  <c r="G15"/>
  <c r="F15"/>
  <c r="E15"/>
  <c r="D15"/>
  <c r="C15"/>
  <c r="B15"/>
  <c r="I6"/>
  <c r="H6"/>
  <c r="F6"/>
  <c r="E6"/>
  <c r="D6"/>
  <c r="C6"/>
  <c r="B6"/>
  <c r="I17"/>
  <c r="H17"/>
  <c r="G17"/>
  <c r="F17"/>
  <c r="E17"/>
  <c r="D17"/>
  <c r="C17"/>
  <c r="B17"/>
  <c r="I19"/>
  <c r="H19"/>
  <c r="G19"/>
  <c r="F19"/>
  <c r="E19"/>
  <c r="D19"/>
  <c r="C19"/>
  <c r="B19"/>
  <c r="I4"/>
  <c r="H4"/>
  <c r="G4"/>
  <c r="F4"/>
  <c r="E4"/>
  <c r="D4"/>
  <c r="C4"/>
  <c r="B4"/>
  <c r="I13"/>
  <c r="H13"/>
  <c r="G13"/>
  <c r="F13"/>
  <c r="E13"/>
  <c r="D13"/>
  <c r="C13"/>
  <c r="B13"/>
  <c r="I10"/>
  <c r="H10"/>
  <c r="G10"/>
  <c r="F10"/>
  <c r="E10"/>
  <c r="D10"/>
  <c r="C10"/>
  <c r="B10"/>
  <c r="I18"/>
  <c r="H18"/>
  <c r="F18"/>
  <c r="E18"/>
  <c r="D18"/>
  <c r="C18"/>
  <c r="B18"/>
  <c r="I16"/>
  <c r="H16"/>
  <c r="G16"/>
  <c r="F16"/>
  <c r="E16"/>
  <c r="D16"/>
  <c r="C16"/>
  <c r="B16"/>
  <c r="I12"/>
  <c r="H12"/>
  <c r="G12"/>
  <c r="F12"/>
  <c r="E12"/>
  <c r="D12"/>
  <c r="C12"/>
  <c r="B12"/>
  <c r="I9"/>
  <c r="H9"/>
  <c r="G9"/>
  <c r="F9"/>
  <c r="E9"/>
  <c r="D9"/>
  <c r="C9"/>
  <c r="B9"/>
  <c r="I11"/>
  <c r="H11"/>
  <c r="G11"/>
  <c r="F11"/>
  <c r="E11"/>
  <c r="D11"/>
  <c r="C11"/>
  <c r="B11"/>
</calcChain>
</file>

<file path=xl/sharedStrings.xml><?xml version="1.0" encoding="utf-8"?>
<sst xmlns="http://schemas.openxmlformats.org/spreadsheetml/2006/main" count="793" uniqueCount="50">
  <si>
    <t>编号</t>
  </si>
  <si>
    <t>姓名</t>
  </si>
  <si>
    <t>性别</t>
  </si>
  <si>
    <t>民族</t>
  </si>
  <si>
    <t>身份证号</t>
  </si>
  <si>
    <t>联系电话</t>
  </si>
  <si>
    <t>家庭地址</t>
  </si>
  <si>
    <t>任教学段</t>
  </si>
  <si>
    <t>任教科目</t>
  </si>
  <si>
    <t>考场</t>
    <phoneticPr fontId="1" type="noConversion"/>
  </si>
  <si>
    <t>一试场</t>
    <phoneticPr fontId="1" type="noConversion"/>
  </si>
  <si>
    <t>德峨镇</t>
  </si>
  <si>
    <t>金钟山</t>
  </si>
  <si>
    <t>克长乡</t>
  </si>
  <si>
    <t>蛇场乡</t>
  </si>
  <si>
    <t>三试场</t>
    <phoneticPr fontId="4" type="noConversion"/>
  </si>
  <si>
    <t>四试场</t>
    <phoneticPr fontId="4" type="noConversion"/>
  </si>
  <si>
    <t>五试场</t>
    <phoneticPr fontId="4" type="noConversion"/>
  </si>
  <si>
    <t>贵州</t>
  </si>
  <si>
    <t>六试场</t>
    <phoneticPr fontId="4" type="noConversion"/>
  </si>
  <si>
    <t>云南曲靖</t>
  </si>
  <si>
    <t>贵州安龙</t>
  </si>
  <si>
    <t>贵州省册亨县</t>
    <phoneticPr fontId="4" type="noConversion"/>
  </si>
  <si>
    <t>广西百色隆林县</t>
  </si>
  <si>
    <t>广西隆林</t>
  </si>
  <si>
    <t>十试场</t>
    <phoneticPr fontId="4" type="noConversion"/>
  </si>
  <si>
    <t>十一试场</t>
    <phoneticPr fontId="1" type="noConversion"/>
  </si>
  <si>
    <t>革步乡</t>
  </si>
  <si>
    <t>猪场乡</t>
  </si>
  <si>
    <t>十五试场</t>
    <phoneticPr fontId="4" type="noConversion"/>
  </si>
  <si>
    <t>十二试场</t>
    <phoneticPr fontId="4" type="noConversion"/>
  </si>
  <si>
    <t>报考乡镇</t>
    <phoneticPr fontId="8" type="noConversion"/>
  </si>
  <si>
    <t>二试场</t>
    <phoneticPr fontId="8" type="noConversion"/>
  </si>
  <si>
    <t>七试场</t>
    <phoneticPr fontId="8" type="noConversion"/>
  </si>
  <si>
    <t>八试场</t>
    <phoneticPr fontId="8" type="noConversion"/>
  </si>
  <si>
    <t>九试场</t>
    <phoneticPr fontId="8" type="noConversion"/>
  </si>
  <si>
    <t>十三试场</t>
    <phoneticPr fontId="8" type="noConversion"/>
  </si>
  <si>
    <t>十四试场</t>
    <phoneticPr fontId="8" type="noConversion"/>
  </si>
  <si>
    <t>十六试场</t>
    <phoneticPr fontId="8" type="noConversion"/>
  </si>
  <si>
    <t>十七试场</t>
    <phoneticPr fontId="8" type="noConversion"/>
  </si>
  <si>
    <t>十八试场</t>
    <phoneticPr fontId="8" type="noConversion"/>
  </si>
  <si>
    <t>十九试场</t>
    <phoneticPr fontId="8" type="noConversion"/>
  </si>
  <si>
    <t>面试成绩</t>
    <phoneticPr fontId="1" type="noConversion"/>
  </si>
  <si>
    <t>岗位排名</t>
    <phoneticPr fontId="1" type="noConversion"/>
  </si>
  <si>
    <t>聘用意见</t>
    <phoneticPr fontId="8" type="noConversion"/>
  </si>
  <si>
    <t>缺考</t>
    <phoneticPr fontId="8" type="noConversion"/>
  </si>
  <si>
    <t>拟聘用</t>
    <phoneticPr fontId="8" type="noConversion"/>
  </si>
  <si>
    <t>隆林各族自治县2018年特岗教师招聘面试成绩排名表</t>
    <phoneticPr fontId="8" type="noConversion"/>
  </si>
  <si>
    <t>统计单位：隆林各族自治县教育局                                  2018年7月28日</t>
    <phoneticPr fontId="8" type="noConversion"/>
  </si>
  <si>
    <t>自动放弃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</si>
</sst>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2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charset val="134"/>
      <scheme val="minor"/>
    </font>
    <font>
      <b/>
      <sz val="26"/>
      <color theme="1"/>
      <name val="方正小标宋_GBK"/>
      <family val="4"/>
      <charset val="134"/>
    </font>
    <font>
      <sz val="16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10" fillId="0" borderId="0" xfId="0" applyFont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24"/>
  <sheetViews>
    <sheetView tabSelected="1" topLeftCell="A415" workbookViewId="0">
      <selection activeCell="M395" sqref="M395:M396"/>
    </sheetView>
  </sheetViews>
  <sheetFormatPr defaultRowHeight="13.5"/>
  <cols>
    <col min="1" max="1" width="5" customWidth="1"/>
    <col min="2" max="2" width="6.875" customWidth="1"/>
    <col min="3" max="3" width="5.5" customWidth="1"/>
    <col min="4" max="4" width="6.25" customWidth="1"/>
    <col min="5" max="5" width="10.875" customWidth="1"/>
    <col min="6" max="6" width="8.125" customWidth="1"/>
    <col min="7" max="7" width="25.625" customWidth="1"/>
    <col min="10" max="10" width="9.625" customWidth="1"/>
    <col min="11" max="11" width="11.625" customWidth="1"/>
    <col min="12" max="12" width="8.125" style="17" customWidth="1"/>
    <col min="14" max="14" width="9" style="6"/>
  </cols>
  <sheetData>
    <row r="1" spans="1:14" ht="37.5" customHeight="1">
      <c r="A1" s="25" t="s">
        <v>47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s="18" customFormat="1" ht="27" customHeight="1">
      <c r="A2" s="26" t="s">
        <v>48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s="4" customFormat="1" ht="41.25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31</v>
      </c>
      <c r="K3" s="1" t="s">
        <v>9</v>
      </c>
      <c r="L3" s="14" t="s">
        <v>42</v>
      </c>
      <c r="M3" s="1" t="s">
        <v>43</v>
      </c>
      <c r="N3" s="1" t="s">
        <v>44</v>
      </c>
    </row>
    <row r="4" spans="1:14" s="3" customFormat="1" ht="33" customHeight="1">
      <c r="A4" s="11">
        <v>1</v>
      </c>
      <c r="B4" s="11" t="str">
        <f>"黄掬"</f>
        <v>黄掬</v>
      </c>
      <c r="C4" s="11" t="str">
        <f>"女        "</f>
        <v xml:space="preserve">女        </v>
      </c>
      <c r="D4" s="11" t="str">
        <f>"布依族"</f>
        <v>布依族</v>
      </c>
      <c r="E4" s="11" t="str">
        <f>"522328199309210223"</f>
        <v>522328199309210223</v>
      </c>
      <c r="F4" s="11" t="str">
        <f>"18798007108"</f>
        <v>18798007108</v>
      </c>
      <c r="G4" s="11" t="str">
        <f>"贵州省安龙县招堤街道办事处西关街11号"</f>
        <v>贵州省安龙县招堤街道办事处西关街11号</v>
      </c>
      <c r="H4" s="11" t="str">
        <f t="shared" ref="H4:H35" si="0">"初中"</f>
        <v>初中</v>
      </c>
      <c r="I4" s="11" t="str">
        <f t="shared" ref="I4:I20" si="1">"202:语文"</f>
        <v>202:语文</v>
      </c>
      <c r="J4" s="11"/>
      <c r="K4" s="1" t="s">
        <v>10</v>
      </c>
      <c r="L4" s="15">
        <v>87.46</v>
      </c>
      <c r="M4" s="27">
        <v>1</v>
      </c>
      <c r="N4" s="1" t="s">
        <v>46</v>
      </c>
    </row>
    <row r="5" spans="1:14" s="3" customFormat="1" ht="33" customHeight="1">
      <c r="A5" s="11">
        <v>2</v>
      </c>
      <c r="B5" s="11" t="str">
        <f>"韦翔"</f>
        <v>韦翔</v>
      </c>
      <c r="C5" s="11" t="str">
        <f>"男        "</f>
        <v xml:space="preserve">男        </v>
      </c>
      <c r="D5" s="11" t="str">
        <f>"壮族"</f>
        <v>壮族</v>
      </c>
      <c r="E5" s="11" t="str">
        <f>"452631199602172314"</f>
        <v>452631199602172314</v>
      </c>
      <c r="F5" s="11" t="str">
        <f>"17777686621"</f>
        <v>17777686621</v>
      </c>
      <c r="G5" s="11" t="str">
        <f>"广西隆林各组自治县天生桥镇岩卡村平恒屯"</f>
        <v>广西隆林各组自治县天生桥镇岩卡村平恒屯</v>
      </c>
      <c r="H5" s="11" t="str">
        <f t="shared" si="0"/>
        <v>初中</v>
      </c>
      <c r="I5" s="11" t="str">
        <f t="shared" si="1"/>
        <v>202:语文</v>
      </c>
      <c r="J5" s="11"/>
      <c r="K5" s="1" t="s">
        <v>10</v>
      </c>
      <c r="L5" s="15">
        <v>87.3</v>
      </c>
      <c r="M5" s="27">
        <v>2</v>
      </c>
      <c r="N5" s="1" t="s">
        <v>46</v>
      </c>
    </row>
    <row r="6" spans="1:14" s="3" customFormat="1" ht="33" customHeight="1">
      <c r="A6" s="11">
        <v>3</v>
      </c>
      <c r="B6" s="11" t="str">
        <f>"朱绍贇"</f>
        <v>朱绍贇</v>
      </c>
      <c r="C6" s="11" t="str">
        <f>"女        "</f>
        <v xml:space="preserve">女        </v>
      </c>
      <c r="D6" s="11" t="str">
        <f>"彝族"</f>
        <v>彝族</v>
      </c>
      <c r="E6" s="11" t="str">
        <f>"522328199405285727"</f>
        <v>522328199405285727</v>
      </c>
      <c r="F6" s="11" t="str">
        <f>"18798735362"</f>
        <v>18798735362</v>
      </c>
      <c r="G6" s="11" t="s">
        <v>21</v>
      </c>
      <c r="H6" s="11" t="str">
        <f t="shared" si="0"/>
        <v>初中</v>
      </c>
      <c r="I6" s="11" t="str">
        <f t="shared" si="1"/>
        <v>202:语文</v>
      </c>
      <c r="J6" s="11"/>
      <c r="K6" s="1" t="s">
        <v>10</v>
      </c>
      <c r="L6" s="15">
        <v>87</v>
      </c>
      <c r="M6" s="27">
        <v>3</v>
      </c>
      <c r="N6" s="1" t="s">
        <v>46</v>
      </c>
    </row>
    <row r="7" spans="1:14" s="3" customFormat="1" ht="33" customHeight="1">
      <c r="A7" s="11">
        <v>4</v>
      </c>
      <c r="B7" s="11" t="str">
        <f>"杨峥"</f>
        <v>杨峥</v>
      </c>
      <c r="C7" s="11" t="str">
        <f>"男        "</f>
        <v xml:space="preserve">男        </v>
      </c>
      <c r="D7" s="11" t="str">
        <f>"汉族"</f>
        <v>汉族</v>
      </c>
      <c r="E7" s="11" t="str">
        <f>"522427199207061019"</f>
        <v>522427199207061019</v>
      </c>
      <c r="F7" s="11" t="str">
        <f>"15761643140"</f>
        <v>15761643140</v>
      </c>
      <c r="G7" s="11" t="str">
        <f>"贵州省威宁县金钟镇"</f>
        <v>贵州省威宁县金钟镇</v>
      </c>
      <c r="H7" s="11" t="str">
        <f t="shared" si="0"/>
        <v>初中</v>
      </c>
      <c r="I7" s="11" t="str">
        <f t="shared" si="1"/>
        <v>202:语文</v>
      </c>
      <c r="J7" s="11"/>
      <c r="K7" s="1" t="s">
        <v>10</v>
      </c>
      <c r="L7" s="15">
        <v>86.6</v>
      </c>
      <c r="M7" s="27">
        <v>4</v>
      </c>
      <c r="N7" s="1" t="s">
        <v>46</v>
      </c>
    </row>
    <row r="8" spans="1:14" s="3" customFormat="1" ht="33" customHeight="1">
      <c r="A8" s="11">
        <v>5</v>
      </c>
      <c r="B8" s="11" t="str">
        <f>"刘清"</f>
        <v>刘清</v>
      </c>
      <c r="C8" s="11" t="str">
        <f>"女        "</f>
        <v xml:space="preserve">女        </v>
      </c>
      <c r="D8" s="11" t="str">
        <f>"汉族"</f>
        <v>汉族</v>
      </c>
      <c r="E8" s="11" t="str">
        <f>"532224199205112523"</f>
        <v>532224199205112523</v>
      </c>
      <c r="F8" s="11" t="str">
        <f>"18608749767"</f>
        <v>18608749767</v>
      </c>
      <c r="G8" s="11" t="str">
        <f>"云南省曲靖市宣威市热水镇响宗村委会大地坡村101号"</f>
        <v>云南省曲靖市宣威市热水镇响宗村委会大地坡村101号</v>
      </c>
      <c r="H8" s="11" t="str">
        <f t="shared" si="0"/>
        <v>初中</v>
      </c>
      <c r="I8" s="11" t="str">
        <f t="shared" si="1"/>
        <v>202:语文</v>
      </c>
      <c r="J8" s="11"/>
      <c r="K8" s="1" t="s">
        <v>10</v>
      </c>
      <c r="L8" s="15">
        <v>86.46</v>
      </c>
      <c r="M8" s="27">
        <v>5</v>
      </c>
      <c r="N8" s="1" t="s">
        <v>46</v>
      </c>
    </row>
    <row r="9" spans="1:14" s="3" customFormat="1" ht="33" customHeight="1">
      <c r="A9" s="11">
        <v>6</v>
      </c>
      <c r="B9" s="11" t="str">
        <f>"蒙仕慧"</f>
        <v>蒙仕慧</v>
      </c>
      <c r="C9" s="11" t="str">
        <f>"女        "</f>
        <v xml:space="preserve">女        </v>
      </c>
      <c r="D9" s="11" t="str">
        <f>"布依族"</f>
        <v>布依族</v>
      </c>
      <c r="E9" s="11" t="str">
        <f>"522326199308262029"</f>
        <v>522326199308262029</v>
      </c>
      <c r="F9" s="11" t="str">
        <f>"18385656203"</f>
        <v>18385656203</v>
      </c>
      <c r="G9" s="11" t="str">
        <f>"贵州省望谟县大观镇大观村五组"</f>
        <v>贵州省望谟县大观镇大观村五组</v>
      </c>
      <c r="H9" s="11" t="str">
        <f t="shared" si="0"/>
        <v>初中</v>
      </c>
      <c r="I9" s="11" t="str">
        <f t="shared" si="1"/>
        <v>202:语文</v>
      </c>
      <c r="J9" s="11"/>
      <c r="K9" s="1" t="s">
        <v>10</v>
      </c>
      <c r="L9" s="15">
        <v>85.22</v>
      </c>
      <c r="M9" s="11">
        <v>6</v>
      </c>
      <c r="N9" s="1"/>
    </row>
    <row r="10" spans="1:14" s="3" customFormat="1" ht="33" customHeight="1">
      <c r="A10" s="11">
        <v>7</v>
      </c>
      <c r="B10" s="11" t="str">
        <f>"杨正面"</f>
        <v>杨正面</v>
      </c>
      <c r="C10" s="11" t="str">
        <f>"女        "</f>
        <v xml:space="preserve">女        </v>
      </c>
      <c r="D10" s="11" t="str">
        <f>"汉族"</f>
        <v>汉族</v>
      </c>
      <c r="E10" s="11" t="str">
        <f>"522326199308020425"</f>
        <v>522326199308020425</v>
      </c>
      <c r="F10" s="11" t="str">
        <f>"18385656205"</f>
        <v>18385656205</v>
      </c>
      <c r="G10" s="11" t="str">
        <f>"贵州省望谟县桑郎镇打搞村二组"</f>
        <v>贵州省望谟县桑郎镇打搞村二组</v>
      </c>
      <c r="H10" s="11" t="str">
        <f t="shared" si="0"/>
        <v>初中</v>
      </c>
      <c r="I10" s="11" t="str">
        <f t="shared" si="1"/>
        <v>202:语文</v>
      </c>
      <c r="J10" s="11"/>
      <c r="K10" s="1" t="s">
        <v>10</v>
      </c>
      <c r="L10" s="15">
        <v>85.1</v>
      </c>
      <c r="M10" s="11">
        <v>7</v>
      </c>
      <c r="N10" s="1"/>
    </row>
    <row r="11" spans="1:14" s="3" customFormat="1" ht="33" customHeight="1">
      <c r="A11" s="11">
        <v>8</v>
      </c>
      <c r="B11" s="11" t="str">
        <f>"侬发光"</f>
        <v>侬发光</v>
      </c>
      <c r="C11" s="11" t="str">
        <f>"女        "</f>
        <v xml:space="preserve">女        </v>
      </c>
      <c r="D11" s="11" t="str">
        <f>"壮族"</f>
        <v>壮族</v>
      </c>
      <c r="E11" s="11" t="str">
        <f>"53262719950825372X"</f>
        <v>53262719950825372X</v>
      </c>
      <c r="F11" s="11" t="str">
        <f>"14736805310"</f>
        <v>14736805310</v>
      </c>
      <c r="G11" s="11" t="str">
        <f>"云南省文山壮族苗族自治州广南县底圩乡石尧村民委"</f>
        <v>云南省文山壮族苗族自治州广南县底圩乡石尧村民委</v>
      </c>
      <c r="H11" s="11" t="str">
        <f t="shared" si="0"/>
        <v>初中</v>
      </c>
      <c r="I11" s="11" t="str">
        <f t="shared" si="1"/>
        <v>202:语文</v>
      </c>
      <c r="J11" s="11"/>
      <c r="K11" s="1" t="s">
        <v>10</v>
      </c>
      <c r="L11" s="15">
        <v>84.78</v>
      </c>
      <c r="M11" s="11">
        <v>8</v>
      </c>
      <c r="N11" s="1"/>
    </row>
    <row r="12" spans="1:14" s="3" customFormat="1" ht="33" customHeight="1">
      <c r="A12" s="11">
        <v>9</v>
      </c>
      <c r="B12" s="11" t="str">
        <f>"朱家威"</f>
        <v>朱家威</v>
      </c>
      <c r="C12" s="11" t="str">
        <f>"男        "</f>
        <v xml:space="preserve">男        </v>
      </c>
      <c r="D12" s="11" t="str">
        <f>"汉族"</f>
        <v>汉族</v>
      </c>
      <c r="E12" s="11" t="str">
        <f>"520221199409292711"</f>
        <v>520221199409292711</v>
      </c>
      <c r="F12" s="11" t="str">
        <f>"15761643934"</f>
        <v>15761643934</v>
      </c>
      <c r="G12" s="11" t="str">
        <f>"贵州省水城县鸡场镇"</f>
        <v>贵州省水城县鸡场镇</v>
      </c>
      <c r="H12" s="11" t="str">
        <f t="shared" si="0"/>
        <v>初中</v>
      </c>
      <c r="I12" s="11" t="str">
        <f t="shared" si="1"/>
        <v>202:语文</v>
      </c>
      <c r="J12" s="11"/>
      <c r="K12" s="1" t="s">
        <v>10</v>
      </c>
      <c r="L12" s="15">
        <v>84.7</v>
      </c>
      <c r="M12" s="11">
        <v>9</v>
      </c>
      <c r="N12" s="1"/>
    </row>
    <row r="13" spans="1:14" s="3" customFormat="1" ht="33" customHeight="1">
      <c r="A13" s="11">
        <v>10</v>
      </c>
      <c r="B13" s="11" t="str">
        <f>"尚教信"</f>
        <v>尚教信</v>
      </c>
      <c r="C13" s="11" t="str">
        <f>"女        "</f>
        <v xml:space="preserve">女        </v>
      </c>
      <c r="D13" s="11" t="str">
        <f>"仡佬族"</f>
        <v>仡佬族</v>
      </c>
      <c r="E13" s="11" t="str">
        <f>"52232219941001056X"</f>
        <v>52232219941001056X</v>
      </c>
      <c r="F13" s="11" t="str">
        <f>"18275565603"</f>
        <v>18275565603</v>
      </c>
      <c r="G13" s="11" t="str">
        <f>"贵州省兴仁县回龙镇狮子村小子冲二组"</f>
        <v>贵州省兴仁县回龙镇狮子村小子冲二组</v>
      </c>
      <c r="H13" s="11" t="str">
        <f t="shared" si="0"/>
        <v>初中</v>
      </c>
      <c r="I13" s="11" t="str">
        <f t="shared" si="1"/>
        <v>202:语文</v>
      </c>
      <c r="J13" s="11"/>
      <c r="K13" s="1" t="s">
        <v>10</v>
      </c>
      <c r="L13" s="15">
        <v>84.54</v>
      </c>
      <c r="M13" s="11">
        <v>10</v>
      </c>
      <c r="N13" s="1"/>
    </row>
    <row r="14" spans="1:14" s="3" customFormat="1" ht="33" customHeight="1">
      <c r="A14" s="11">
        <v>11</v>
      </c>
      <c r="B14" s="11" t="str">
        <f>"吴万珍"</f>
        <v>吴万珍</v>
      </c>
      <c r="C14" s="11" t="str">
        <f>"女        "</f>
        <v xml:space="preserve">女        </v>
      </c>
      <c r="D14" s="11" t="str">
        <f>"彝族"</f>
        <v>彝族</v>
      </c>
      <c r="E14" s="11" t="str">
        <f>"522328199401142825"</f>
        <v>522328199401142825</v>
      </c>
      <c r="F14" s="11" t="str">
        <f>"18785923049"</f>
        <v>18785923049</v>
      </c>
      <c r="G14" s="11" t="str">
        <f>"贵州省安龙县洒雨镇海星村断桥组"</f>
        <v>贵州省安龙县洒雨镇海星村断桥组</v>
      </c>
      <c r="H14" s="11" t="str">
        <f t="shared" si="0"/>
        <v>初中</v>
      </c>
      <c r="I14" s="11" t="str">
        <f t="shared" si="1"/>
        <v>202:语文</v>
      </c>
      <c r="J14" s="11"/>
      <c r="K14" s="1" t="s">
        <v>10</v>
      </c>
      <c r="L14" s="15">
        <v>84.5</v>
      </c>
      <c r="M14" s="11">
        <v>11</v>
      </c>
      <c r="N14" s="1"/>
    </row>
    <row r="15" spans="1:14" s="3" customFormat="1" ht="33" customHeight="1">
      <c r="A15" s="11">
        <v>12</v>
      </c>
      <c r="B15" s="11" t="str">
        <f>"黄婷"</f>
        <v>黄婷</v>
      </c>
      <c r="C15" s="11" t="str">
        <f>"女        "</f>
        <v xml:space="preserve">女        </v>
      </c>
      <c r="D15" s="11" t="str">
        <f>"壮族"</f>
        <v>壮族</v>
      </c>
      <c r="E15" s="11" t="str">
        <f>"452601199412202123"</f>
        <v>452601199412202123</v>
      </c>
      <c r="F15" s="11" t="str">
        <f>"15277000365"</f>
        <v>15277000365</v>
      </c>
      <c r="G15" s="11" t="str">
        <f>"广西百色市右江区永乐乡西乐村那豆屯"</f>
        <v>广西百色市右江区永乐乡西乐村那豆屯</v>
      </c>
      <c r="H15" s="11" t="str">
        <f t="shared" si="0"/>
        <v>初中</v>
      </c>
      <c r="I15" s="11" t="str">
        <f t="shared" si="1"/>
        <v>202:语文</v>
      </c>
      <c r="J15" s="11"/>
      <c r="K15" s="1" t="s">
        <v>10</v>
      </c>
      <c r="L15" s="15">
        <v>84.5</v>
      </c>
      <c r="M15" s="11">
        <v>12</v>
      </c>
      <c r="N15" s="1"/>
    </row>
    <row r="16" spans="1:14" s="3" customFormat="1" ht="33" customHeight="1">
      <c r="A16" s="11">
        <v>13</v>
      </c>
      <c r="B16" s="11" t="str">
        <f>"周华英"</f>
        <v>周华英</v>
      </c>
      <c r="C16" s="11" t="str">
        <f>"女        "</f>
        <v xml:space="preserve">女        </v>
      </c>
      <c r="D16" s="11" t="str">
        <f>"汉族"</f>
        <v>汉族</v>
      </c>
      <c r="E16" s="11" t="str">
        <f>"522326199412251709"</f>
        <v>522326199412251709</v>
      </c>
      <c r="F16" s="11" t="str">
        <f>"18585440781"</f>
        <v>18585440781</v>
      </c>
      <c r="G16" s="11" t="str">
        <f>"贵州省望谟县新屯镇竹山村竹山组"</f>
        <v>贵州省望谟县新屯镇竹山村竹山组</v>
      </c>
      <c r="H16" s="11" t="str">
        <f t="shared" si="0"/>
        <v>初中</v>
      </c>
      <c r="I16" s="11" t="str">
        <f t="shared" si="1"/>
        <v>202:语文</v>
      </c>
      <c r="J16" s="11"/>
      <c r="K16" s="1" t="s">
        <v>10</v>
      </c>
      <c r="L16" s="15">
        <v>83.4</v>
      </c>
      <c r="M16" s="11">
        <v>13</v>
      </c>
      <c r="N16" s="1"/>
    </row>
    <row r="17" spans="1:14" s="3" customFormat="1" ht="33" customHeight="1">
      <c r="A17" s="11">
        <v>14</v>
      </c>
      <c r="B17" s="11" t="str">
        <f>"叶星婵"</f>
        <v>叶星婵</v>
      </c>
      <c r="C17" s="11" t="str">
        <f>"男        "</f>
        <v xml:space="preserve">男        </v>
      </c>
      <c r="D17" s="11" t="str">
        <f>"布依族"</f>
        <v>布依族</v>
      </c>
      <c r="E17" s="11" t="str">
        <f>"522327199212122415"</f>
        <v>522327199212122415</v>
      </c>
      <c r="F17" s="11" t="str">
        <f>"18788758676"</f>
        <v>18788758676</v>
      </c>
      <c r="G17" s="11" t="str">
        <f>"贵州省册亨县双江镇顶肖小学"</f>
        <v>贵州省册亨县双江镇顶肖小学</v>
      </c>
      <c r="H17" s="11" t="str">
        <f t="shared" si="0"/>
        <v>初中</v>
      </c>
      <c r="I17" s="11" t="str">
        <f t="shared" si="1"/>
        <v>202:语文</v>
      </c>
      <c r="J17" s="11"/>
      <c r="K17" s="1" t="s">
        <v>10</v>
      </c>
      <c r="L17" s="15">
        <v>82.8</v>
      </c>
      <c r="M17" s="11">
        <v>14</v>
      </c>
      <c r="N17" s="1"/>
    </row>
    <row r="18" spans="1:14" s="3" customFormat="1" ht="33" customHeight="1">
      <c r="A18" s="11">
        <v>15</v>
      </c>
      <c r="B18" s="11" t="str">
        <f>"窦开祥"</f>
        <v>窦开祥</v>
      </c>
      <c r="C18" s="11" t="str">
        <f>"男        "</f>
        <v xml:space="preserve">男        </v>
      </c>
      <c r="D18" s="11" t="str">
        <f>"汉族"</f>
        <v>汉族</v>
      </c>
      <c r="E18" s="11" t="str">
        <f>"530321199301100930"</f>
        <v>530321199301100930</v>
      </c>
      <c r="F18" s="11" t="str">
        <f>"15987656827"</f>
        <v>15987656827</v>
      </c>
      <c r="G18" s="11" t="s">
        <v>20</v>
      </c>
      <c r="H18" s="11" t="str">
        <f t="shared" si="0"/>
        <v>初中</v>
      </c>
      <c r="I18" s="11" t="str">
        <f t="shared" si="1"/>
        <v>202:语文</v>
      </c>
      <c r="J18" s="11"/>
      <c r="K18" s="1" t="s">
        <v>10</v>
      </c>
      <c r="L18" s="15">
        <v>81.400000000000006</v>
      </c>
      <c r="M18" s="11">
        <v>15</v>
      </c>
      <c r="N18" s="1"/>
    </row>
    <row r="19" spans="1:14" s="3" customFormat="1" ht="33" customHeight="1">
      <c r="A19" s="11">
        <v>16</v>
      </c>
      <c r="B19" s="11" t="str">
        <f>"袁选择"</f>
        <v>袁选择</v>
      </c>
      <c r="C19" s="11" t="str">
        <f>"男        "</f>
        <v xml:space="preserve">男        </v>
      </c>
      <c r="D19" s="11" t="str">
        <f>"布依族"</f>
        <v>布依族</v>
      </c>
      <c r="E19" s="11" t="str">
        <f>"522321198903104977"</f>
        <v>522321198903104977</v>
      </c>
      <c r="F19" s="11" t="str">
        <f>"18785997432"</f>
        <v>18785997432</v>
      </c>
      <c r="G19" s="11" t="str">
        <f>"贵州省兴义市"</f>
        <v>贵州省兴义市</v>
      </c>
      <c r="H19" s="11" t="str">
        <f t="shared" si="0"/>
        <v>初中</v>
      </c>
      <c r="I19" s="11" t="str">
        <f t="shared" si="1"/>
        <v>202:语文</v>
      </c>
      <c r="J19" s="11"/>
      <c r="K19" s="1" t="s">
        <v>10</v>
      </c>
      <c r="L19" s="15">
        <v>81.400000000000006</v>
      </c>
      <c r="M19" s="11">
        <v>16</v>
      </c>
      <c r="N19" s="1"/>
    </row>
    <row r="20" spans="1:14" s="3" customFormat="1" ht="33" customHeight="1">
      <c r="A20" s="11">
        <v>17</v>
      </c>
      <c r="B20" s="11" t="str">
        <f>"梁海鸿"</f>
        <v>梁海鸿</v>
      </c>
      <c r="C20" s="11" t="str">
        <f>"女        "</f>
        <v xml:space="preserve">女        </v>
      </c>
      <c r="D20" s="11" t="str">
        <f>"壮族"</f>
        <v>壮族</v>
      </c>
      <c r="E20" s="11" t="str">
        <f>"452631199109294801"</f>
        <v>452631199109294801</v>
      </c>
      <c r="F20" s="11" t="str">
        <f>"15277692927"</f>
        <v>15277692927</v>
      </c>
      <c r="G20" s="11" t="str">
        <f>"广西隆林各族自治县介廷乡老寨村巴拉屯"</f>
        <v>广西隆林各族自治县介廷乡老寨村巴拉屯</v>
      </c>
      <c r="H20" s="11" t="str">
        <f t="shared" si="0"/>
        <v>初中</v>
      </c>
      <c r="I20" s="11" t="str">
        <f t="shared" si="1"/>
        <v>202:语文</v>
      </c>
      <c r="J20" s="11"/>
      <c r="K20" s="1" t="s">
        <v>10</v>
      </c>
      <c r="L20" s="15" t="s">
        <v>45</v>
      </c>
      <c r="M20" s="11">
        <v>17</v>
      </c>
      <c r="N20" s="1"/>
    </row>
    <row r="21" spans="1:14" s="10" customFormat="1" ht="33" customHeight="1">
      <c r="A21" s="11">
        <v>18</v>
      </c>
      <c r="B21" s="11" t="str">
        <f>"刘梦娇"</f>
        <v>刘梦娇</v>
      </c>
      <c r="C21" s="11" t="str">
        <f>"女        "</f>
        <v xml:space="preserve">女        </v>
      </c>
      <c r="D21" s="11" t="str">
        <f>"汉族"</f>
        <v>汉族</v>
      </c>
      <c r="E21" s="11" t="str">
        <f>"530324199112160765"</f>
        <v>530324199112160765</v>
      </c>
      <c r="F21" s="11" t="str">
        <f>"15911948703"</f>
        <v>15911948703</v>
      </c>
      <c r="G21" s="11" t="str">
        <f>"云南省曲靖市罗平县鲁布革乡大坡村委会石丫口村"</f>
        <v>云南省曲靖市罗平县鲁布革乡大坡村委会石丫口村</v>
      </c>
      <c r="H21" s="11" t="str">
        <f t="shared" si="0"/>
        <v>初中</v>
      </c>
      <c r="I21" s="11" t="str">
        <f t="shared" ref="I21:I52" si="2">"211:化学"</f>
        <v>211:化学</v>
      </c>
      <c r="J21" s="11" t="s">
        <v>11</v>
      </c>
      <c r="K21" s="12" t="s">
        <v>32</v>
      </c>
      <c r="L21" s="15">
        <v>88.12</v>
      </c>
      <c r="M21" s="27">
        <v>1</v>
      </c>
      <c r="N21" s="20" t="s">
        <v>46</v>
      </c>
    </row>
    <row r="22" spans="1:14" s="10" customFormat="1" ht="33" customHeight="1">
      <c r="A22" s="11">
        <v>19</v>
      </c>
      <c r="B22" s="11" t="str">
        <f>"冯何艳"</f>
        <v>冯何艳</v>
      </c>
      <c r="C22" s="11" t="str">
        <f>"女        "</f>
        <v xml:space="preserve">女        </v>
      </c>
      <c r="D22" s="11" t="str">
        <f>"白族"</f>
        <v>白族</v>
      </c>
      <c r="E22" s="11" t="str">
        <f>"532929199301291920"</f>
        <v>532929199301291920</v>
      </c>
      <c r="F22" s="11" t="str">
        <f>"15288635338"</f>
        <v>15288635338</v>
      </c>
      <c r="G22" s="11" t="str">
        <f>"云南省大理州云龙县"</f>
        <v>云南省大理州云龙县</v>
      </c>
      <c r="H22" s="11" t="str">
        <f t="shared" si="0"/>
        <v>初中</v>
      </c>
      <c r="I22" s="11" t="str">
        <f t="shared" si="2"/>
        <v>211:化学</v>
      </c>
      <c r="J22" s="11" t="s">
        <v>11</v>
      </c>
      <c r="K22" s="12" t="s">
        <v>32</v>
      </c>
      <c r="L22" s="15">
        <v>86.6</v>
      </c>
      <c r="M22" s="11">
        <v>2</v>
      </c>
      <c r="N22" s="20"/>
    </row>
    <row r="23" spans="1:14" s="10" customFormat="1" ht="33" customHeight="1">
      <c r="A23" s="11">
        <v>20</v>
      </c>
      <c r="B23" s="11" t="str">
        <f>"徐武贤"</f>
        <v>徐武贤</v>
      </c>
      <c r="C23" s="11" t="str">
        <f>"男        "</f>
        <v xml:space="preserve">男        </v>
      </c>
      <c r="D23" s="11" t="str">
        <f>"汉族"</f>
        <v>汉族</v>
      </c>
      <c r="E23" s="11" t="str">
        <f>"520202199210221239"</f>
        <v>520202199210221239</v>
      </c>
      <c r="F23" s="11" t="str">
        <f>"15121607486"</f>
        <v>15121607486</v>
      </c>
      <c r="G23" s="11" t="str">
        <f>"贵州省盘县民主镇燕塘村4组"</f>
        <v>贵州省盘县民主镇燕塘村4组</v>
      </c>
      <c r="H23" s="11" t="str">
        <f t="shared" si="0"/>
        <v>初中</v>
      </c>
      <c r="I23" s="11" t="str">
        <f t="shared" si="2"/>
        <v>211:化学</v>
      </c>
      <c r="J23" s="11" t="s">
        <v>11</v>
      </c>
      <c r="K23" s="12" t="s">
        <v>32</v>
      </c>
      <c r="L23" s="15">
        <v>86.28</v>
      </c>
      <c r="M23" s="11">
        <v>3</v>
      </c>
      <c r="N23" s="20"/>
    </row>
    <row r="24" spans="1:14" s="10" customFormat="1" ht="33" customHeight="1">
      <c r="A24" s="11">
        <v>21</v>
      </c>
      <c r="B24" s="11" t="str">
        <f>"韦娟"</f>
        <v>韦娟</v>
      </c>
      <c r="C24" s="11" t="str">
        <f>"女        "</f>
        <v xml:space="preserve">女        </v>
      </c>
      <c r="D24" s="11" t="str">
        <f>"壮族"</f>
        <v>壮族</v>
      </c>
      <c r="E24" s="11" t="str">
        <f>"532627199601084166"</f>
        <v>532627199601084166</v>
      </c>
      <c r="F24" s="11" t="str">
        <f>"14736801554"</f>
        <v>14736801554</v>
      </c>
      <c r="G24" s="11" t="str">
        <f>"云南省文山市广南县坝美镇洛里村委者旦小组"</f>
        <v>云南省文山市广南县坝美镇洛里村委者旦小组</v>
      </c>
      <c r="H24" s="11" t="str">
        <f t="shared" si="0"/>
        <v>初中</v>
      </c>
      <c r="I24" s="11" t="str">
        <f t="shared" si="2"/>
        <v>211:化学</v>
      </c>
      <c r="J24" s="11" t="s">
        <v>11</v>
      </c>
      <c r="K24" s="12" t="s">
        <v>32</v>
      </c>
      <c r="L24" s="15">
        <v>85.98</v>
      </c>
      <c r="M24" s="11">
        <v>4</v>
      </c>
      <c r="N24" s="20"/>
    </row>
    <row r="25" spans="1:14" s="10" customFormat="1" ht="33" customHeight="1">
      <c r="A25" s="11">
        <v>22</v>
      </c>
      <c r="B25" s="11" t="str">
        <f>"贺浪"</f>
        <v>贺浪</v>
      </c>
      <c r="C25" s="11" t="str">
        <f>"女        "</f>
        <v xml:space="preserve">女        </v>
      </c>
      <c r="D25" s="11" t="str">
        <f>"布依族"</f>
        <v>布依族</v>
      </c>
      <c r="E25" s="11" t="str">
        <f>"522321199110204905"</f>
        <v>522321199110204905</v>
      </c>
      <c r="F25" s="11" t="str">
        <f>"18785938359"</f>
        <v>18785938359</v>
      </c>
      <c r="G25" s="11" t="str">
        <f>"贵州省兴义市马岭镇打邦村六组"</f>
        <v>贵州省兴义市马岭镇打邦村六组</v>
      </c>
      <c r="H25" s="11" t="str">
        <f t="shared" si="0"/>
        <v>初中</v>
      </c>
      <c r="I25" s="11" t="str">
        <f t="shared" si="2"/>
        <v>211:化学</v>
      </c>
      <c r="J25" s="11" t="s">
        <v>11</v>
      </c>
      <c r="K25" s="12" t="s">
        <v>32</v>
      </c>
      <c r="L25" s="15">
        <v>85.97</v>
      </c>
      <c r="M25" s="11">
        <v>5</v>
      </c>
      <c r="N25" s="20"/>
    </row>
    <row r="26" spans="1:14" s="10" customFormat="1" ht="33" customHeight="1">
      <c r="A26" s="11">
        <v>23</v>
      </c>
      <c r="B26" s="11" t="str">
        <f>"李英"</f>
        <v>李英</v>
      </c>
      <c r="C26" s="11" t="str">
        <f>"女        "</f>
        <v xml:space="preserve">女        </v>
      </c>
      <c r="D26" s="11" t="str">
        <f>"彝族"</f>
        <v>彝族</v>
      </c>
      <c r="E26" s="11" t="str">
        <f>"522422199004080664"</f>
        <v>522422199004080664</v>
      </c>
      <c r="F26" s="11" t="str">
        <f>"18786664174"</f>
        <v>18786664174</v>
      </c>
      <c r="G26" s="11" t="str">
        <f>"贵州省大方县猫场镇碧脚村官寨组"</f>
        <v>贵州省大方县猫场镇碧脚村官寨组</v>
      </c>
      <c r="H26" s="11" t="str">
        <f t="shared" si="0"/>
        <v>初中</v>
      </c>
      <c r="I26" s="11" t="str">
        <f t="shared" si="2"/>
        <v>211:化学</v>
      </c>
      <c r="J26" s="11" t="s">
        <v>11</v>
      </c>
      <c r="K26" s="12" t="s">
        <v>32</v>
      </c>
      <c r="L26" s="15">
        <v>85.6</v>
      </c>
      <c r="M26" s="11">
        <v>6</v>
      </c>
      <c r="N26" s="20"/>
    </row>
    <row r="27" spans="1:14" s="10" customFormat="1" ht="33" customHeight="1">
      <c r="A27" s="11">
        <v>24</v>
      </c>
      <c r="B27" s="11" t="str">
        <f>"查兰美"</f>
        <v>查兰美</v>
      </c>
      <c r="C27" s="11" t="str">
        <f>"女        "</f>
        <v xml:space="preserve">女        </v>
      </c>
      <c r="D27" s="11" t="str">
        <f>"布依族"</f>
        <v>布依族</v>
      </c>
      <c r="E27" s="11" t="str">
        <f>"522321199001184642"</f>
        <v>522321199001184642</v>
      </c>
      <c r="F27" s="11" t="str">
        <f>"18286908252"</f>
        <v>18286908252</v>
      </c>
      <c r="G27" s="11" t="str">
        <f>"贵州省兴义市郑屯镇十一组"</f>
        <v>贵州省兴义市郑屯镇十一组</v>
      </c>
      <c r="H27" s="11" t="str">
        <f t="shared" si="0"/>
        <v>初中</v>
      </c>
      <c r="I27" s="11" t="str">
        <f t="shared" si="2"/>
        <v>211:化学</v>
      </c>
      <c r="J27" s="11" t="s">
        <v>11</v>
      </c>
      <c r="K27" s="12" t="s">
        <v>32</v>
      </c>
      <c r="L27" s="15">
        <v>85.38</v>
      </c>
      <c r="M27" s="11">
        <v>7</v>
      </c>
      <c r="N27" s="20"/>
    </row>
    <row r="28" spans="1:14" s="10" customFormat="1" ht="33" customHeight="1">
      <c r="A28" s="11">
        <v>25</v>
      </c>
      <c r="B28" s="11" t="str">
        <f>"班善良"</f>
        <v>班善良</v>
      </c>
      <c r="C28" s="11" t="str">
        <f>"男        "</f>
        <v xml:space="preserve">男        </v>
      </c>
      <c r="D28" s="11" t="str">
        <f>"壮族"</f>
        <v>壮族</v>
      </c>
      <c r="E28" s="11" t="str">
        <f>"452631199405152090"</f>
        <v>452631199405152090</v>
      </c>
      <c r="F28" s="11" t="str">
        <f>"13877691604"</f>
        <v>13877691604</v>
      </c>
      <c r="G28" s="11" t="str">
        <f>"广西隆林各族自治县者浪乡者床村那乾屯019号"</f>
        <v>广西隆林各族自治县者浪乡者床村那乾屯019号</v>
      </c>
      <c r="H28" s="11" t="str">
        <f t="shared" si="0"/>
        <v>初中</v>
      </c>
      <c r="I28" s="11" t="str">
        <f t="shared" si="2"/>
        <v>211:化学</v>
      </c>
      <c r="J28" s="11" t="s">
        <v>11</v>
      </c>
      <c r="K28" s="12" t="s">
        <v>32</v>
      </c>
      <c r="L28" s="15">
        <v>82.94</v>
      </c>
      <c r="M28" s="11">
        <v>8</v>
      </c>
      <c r="N28" s="20"/>
    </row>
    <row r="29" spans="1:14" s="10" customFormat="1" ht="33" customHeight="1">
      <c r="A29" s="11">
        <v>26</v>
      </c>
      <c r="B29" s="11" t="str">
        <f>"陆永快"</f>
        <v>陆永快</v>
      </c>
      <c r="C29" s="11" t="str">
        <f>"女        "</f>
        <v xml:space="preserve">女        </v>
      </c>
      <c r="D29" s="11" t="str">
        <f>"壮族"</f>
        <v>壮族</v>
      </c>
      <c r="E29" s="11" t="str">
        <f>"452631199601161744"</f>
        <v>452631199601161744</v>
      </c>
      <c r="F29" s="11" t="str">
        <f>"15677122979"</f>
        <v>15677122979</v>
      </c>
      <c r="G29" s="11" t="str">
        <f>"广西百色市隆林各族自治县者保乡同福村腊仁屯"</f>
        <v>广西百色市隆林各族自治县者保乡同福村腊仁屯</v>
      </c>
      <c r="H29" s="11" t="str">
        <f t="shared" si="0"/>
        <v>初中</v>
      </c>
      <c r="I29" s="11" t="str">
        <f t="shared" si="2"/>
        <v>211:化学</v>
      </c>
      <c r="J29" s="11" t="s">
        <v>11</v>
      </c>
      <c r="K29" s="12" t="s">
        <v>32</v>
      </c>
      <c r="L29" s="15">
        <v>80.87</v>
      </c>
      <c r="M29" s="11">
        <v>9</v>
      </c>
      <c r="N29" s="20"/>
    </row>
    <row r="30" spans="1:14" s="10" customFormat="1" ht="33" customHeight="1">
      <c r="A30" s="11">
        <v>27</v>
      </c>
      <c r="B30" s="11" t="str">
        <f>"蒋金丽"</f>
        <v>蒋金丽</v>
      </c>
      <c r="C30" s="11" t="str">
        <f>"女        "</f>
        <v xml:space="preserve">女        </v>
      </c>
      <c r="D30" s="11" t="str">
        <f>"汉族"</f>
        <v>汉族</v>
      </c>
      <c r="E30" s="11" t="str">
        <f>"532628199505093122"</f>
        <v>532628199505093122</v>
      </c>
      <c r="F30" s="11" t="str">
        <f>"15758230375"</f>
        <v>15758230375</v>
      </c>
      <c r="G30" s="11" t="str">
        <f>"云南省文山州富宁县"</f>
        <v>云南省文山州富宁县</v>
      </c>
      <c r="H30" s="11" t="str">
        <f t="shared" si="0"/>
        <v>初中</v>
      </c>
      <c r="I30" s="11" t="str">
        <f t="shared" si="2"/>
        <v>211:化学</v>
      </c>
      <c r="J30" s="11" t="s">
        <v>11</v>
      </c>
      <c r="K30" s="12" t="s">
        <v>32</v>
      </c>
      <c r="L30" s="15">
        <v>80.61</v>
      </c>
      <c r="M30" s="11">
        <v>10</v>
      </c>
      <c r="N30" s="20"/>
    </row>
    <row r="31" spans="1:14" s="10" customFormat="1" ht="33" customHeight="1">
      <c r="A31" s="11">
        <v>28</v>
      </c>
      <c r="B31" s="11" t="str">
        <f>"杨秀丽"</f>
        <v>杨秀丽</v>
      </c>
      <c r="C31" s="11" t="str">
        <f>"女        "</f>
        <v xml:space="preserve">女        </v>
      </c>
      <c r="D31" s="11" t="str">
        <f>"苗族"</f>
        <v>苗族</v>
      </c>
      <c r="E31" s="11" t="str">
        <f>"452631199212063403"</f>
        <v>452631199212063403</v>
      </c>
      <c r="F31" s="11" t="str">
        <f>"13257805132"</f>
        <v>13257805132</v>
      </c>
      <c r="G31" s="11" t="str">
        <f>"广西隆林各族自治县德峨乡常么村水井屯"</f>
        <v>广西隆林各族自治县德峨乡常么村水井屯</v>
      </c>
      <c r="H31" s="11" t="str">
        <f t="shared" si="0"/>
        <v>初中</v>
      </c>
      <c r="I31" s="11" t="str">
        <f t="shared" si="2"/>
        <v>211:化学</v>
      </c>
      <c r="J31" s="11" t="s">
        <v>11</v>
      </c>
      <c r="K31" s="12" t="s">
        <v>32</v>
      </c>
      <c r="L31" s="15">
        <v>78.489999999999995</v>
      </c>
      <c r="M31" s="11">
        <v>11</v>
      </c>
      <c r="N31" s="20"/>
    </row>
    <row r="32" spans="1:14" s="10" customFormat="1" ht="33" customHeight="1">
      <c r="A32" s="11">
        <v>29</v>
      </c>
      <c r="B32" s="11" t="str">
        <f>"滕仕坤"</f>
        <v>滕仕坤</v>
      </c>
      <c r="C32" s="11" t="str">
        <f>"男        "</f>
        <v xml:space="preserve">男        </v>
      </c>
      <c r="D32" s="11" t="str">
        <f>"汉族"</f>
        <v>汉族</v>
      </c>
      <c r="E32" s="11" t="str">
        <f>"52232619940826067X"</f>
        <v>52232619940826067X</v>
      </c>
      <c r="F32" s="11" t="str">
        <f>"18786743736"</f>
        <v>18786743736</v>
      </c>
      <c r="G32" s="11" t="str">
        <f>"贵州省黔西南州望谟县打易镇绞朋村"</f>
        <v>贵州省黔西南州望谟县打易镇绞朋村</v>
      </c>
      <c r="H32" s="11" t="str">
        <f t="shared" si="0"/>
        <v>初中</v>
      </c>
      <c r="I32" s="11" t="str">
        <f t="shared" si="2"/>
        <v>211:化学</v>
      </c>
      <c r="J32" s="11" t="s">
        <v>11</v>
      </c>
      <c r="K32" s="12" t="s">
        <v>32</v>
      </c>
      <c r="L32" s="15">
        <v>77.03</v>
      </c>
      <c r="M32" s="11">
        <v>12</v>
      </c>
      <c r="N32" s="20"/>
    </row>
    <row r="33" spans="1:14" s="10" customFormat="1" ht="33" customHeight="1">
      <c r="A33" s="11">
        <v>30</v>
      </c>
      <c r="B33" s="11" t="str">
        <f>"令狐克军"</f>
        <v>令狐克军</v>
      </c>
      <c r="C33" s="11" t="str">
        <f>"男        "</f>
        <v xml:space="preserve">男        </v>
      </c>
      <c r="D33" s="11" t="str">
        <f>"汉族"</f>
        <v>汉族</v>
      </c>
      <c r="E33" s="11" t="str">
        <f>"45263119940901295X"</f>
        <v>45263119940901295X</v>
      </c>
      <c r="F33" s="11" t="str">
        <f>"18907736405"</f>
        <v>18907736405</v>
      </c>
      <c r="G33" s="11" t="str">
        <f>"广西百色市隆林县金钟山乡平流村那梅屯"</f>
        <v>广西百色市隆林县金钟山乡平流村那梅屯</v>
      </c>
      <c r="H33" s="11" t="str">
        <f t="shared" si="0"/>
        <v>初中</v>
      </c>
      <c r="I33" s="11" t="str">
        <f t="shared" si="2"/>
        <v>211:化学</v>
      </c>
      <c r="J33" s="11" t="s">
        <v>12</v>
      </c>
      <c r="K33" s="12" t="s">
        <v>32</v>
      </c>
      <c r="L33" s="15">
        <v>85.84</v>
      </c>
      <c r="M33" s="27">
        <v>1</v>
      </c>
      <c r="N33" s="20" t="s">
        <v>46</v>
      </c>
    </row>
    <row r="34" spans="1:14" s="10" customFormat="1" ht="33" customHeight="1">
      <c r="A34" s="11">
        <v>31</v>
      </c>
      <c r="B34" s="11" t="str">
        <f>"余泳非"</f>
        <v>余泳非</v>
      </c>
      <c r="C34" s="11" t="str">
        <f>"男        "</f>
        <v xml:space="preserve">男        </v>
      </c>
      <c r="D34" s="11" t="str">
        <f>"布依族"</f>
        <v>布依族</v>
      </c>
      <c r="E34" s="11" t="str">
        <f>"522327199306120832"</f>
        <v>522327199306120832</v>
      </c>
      <c r="F34" s="11" t="str">
        <f>"15117353661"</f>
        <v>15117353661</v>
      </c>
      <c r="G34" s="2" t="s">
        <v>22</v>
      </c>
      <c r="H34" s="11" t="str">
        <f t="shared" si="0"/>
        <v>初中</v>
      </c>
      <c r="I34" s="11" t="str">
        <f t="shared" si="2"/>
        <v>211:化学</v>
      </c>
      <c r="J34" s="11" t="s">
        <v>12</v>
      </c>
      <c r="K34" s="12" t="s">
        <v>32</v>
      </c>
      <c r="L34" s="15">
        <v>82.49</v>
      </c>
      <c r="M34" s="27">
        <v>2</v>
      </c>
      <c r="N34" s="20" t="s">
        <v>46</v>
      </c>
    </row>
    <row r="35" spans="1:14" s="10" customFormat="1" ht="33" customHeight="1">
      <c r="A35" s="11">
        <v>32</v>
      </c>
      <c r="B35" s="11" t="str">
        <f>"于贵州"</f>
        <v>于贵州</v>
      </c>
      <c r="C35" s="11" t="str">
        <f>"男        "</f>
        <v xml:space="preserve">男        </v>
      </c>
      <c r="D35" s="11" t="str">
        <f>"汉族"</f>
        <v>汉族</v>
      </c>
      <c r="E35" s="11" t="str">
        <f>"522323199001011373"</f>
        <v>522323199001011373</v>
      </c>
      <c r="F35" s="11" t="str">
        <f>"18785982402"</f>
        <v>18785982402</v>
      </c>
      <c r="G35" s="11" t="str">
        <f>"贵州省普安县江西坡镇白石村红花湾组"</f>
        <v>贵州省普安县江西坡镇白石村红花湾组</v>
      </c>
      <c r="H35" s="11" t="str">
        <f t="shared" si="0"/>
        <v>初中</v>
      </c>
      <c r="I35" s="11" t="str">
        <f t="shared" si="2"/>
        <v>211:化学</v>
      </c>
      <c r="J35" s="11" t="s">
        <v>12</v>
      </c>
      <c r="K35" s="12" t="s">
        <v>32</v>
      </c>
      <c r="L35" s="15">
        <v>82</v>
      </c>
      <c r="M35" s="11">
        <v>3</v>
      </c>
      <c r="N35" s="20"/>
    </row>
    <row r="36" spans="1:14" s="10" customFormat="1" ht="33" customHeight="1">
      <c r="A36" s="11">
        <v>33</v>
      </c>
      <c r="B36" s="11" t="str">
        <f>"许明辉"</f>
        <v>许明辉</v>
      </c>
      <c r="C36" s="11" t="str">
        <f>"男        "</f>
        <v xml:space="preserve">男        </v>
      </c>
      <c r="D36" s="11" t="str">
        <f>"壮族"</f>
        <v>壮族</v>
      </c>
      <c r="E36" s="11" t="str">
        <f>"452626199611202799"</f>
        <v>452626199611202799</v>
      </c>
      <c r="F36" s="11" t="str">
        <f>"13397804024"</f>
        <v>13397804024</v>
      </c>
      <c r="G36" s="11" t="str">
        <f>"广西靖西市禄峒镇怀利村劳屯60号"</f>
        <v>广西靖西市禄峒镇怀利村劳屯60号</v>
      </c>
      <c r="H36" s="11" t="str">
        <f t="shared" ref="H36:H67" si="3">"初中"</f>
        <v>初中</v>
      </c>
      <c r="I36" s="11" t="str">
        <f t="shared" si="2"/>
        <v>211:化学</v>
      </c>
      <c r="J36" s="11" t="s">
        <v>12</v>
      </c>
      <c r="K36" s="12" t="s">
        <v>32</v>
      </c>
      <c r="L36" s="15">
        <v>81.58</v>
      </c>
      <c r="M36" s="11">
        <v>4</v>
      </c>
      <c r="N36" s="20"/>
    </row>
    <row r="37" spans="1:14" s="10" customFormat="1" ht="33" customHeight="1">
      <c r="A37" s="11">
        <v>34</v>
      </c>
      <c r="B37" s="11" t="str">
        <f>"黄彩调"</f>
        <v>黄彩调</v>
      </c>
      <c r="C37" s="11" t="str">
        <f>"女        "</f>
        <v xml:space="preserve">女        </v>
      </c>
      <c r="D37" s="11" t="str">
        <f>"壮族"</f>
        <v>壮族</v>
      </c>
      <c r="E37" s="11" t="str">
        <f>"452631199405130043"</f>
        <v>452631199405130043</v>
      </c>
      <c r="F37" s="11" t="str">
        <f>"18877571254"</f>
        <v>18877571254</v>
      </c>
      <c r="G37" s="11" t="str">
        <f>"广西壮族自治区隆林各族自治县新州镇民福村廷弄屯018号"</f>
        <v>广西壮族自治区隆林各族自治县新州镇民福村廷弄屯018号</v>
      </c>
      <c r="H37" s="11" t="str">
        <f t="shared" si="3"/>
        <v>初中</v>
      </c>
      <c r="I37" s="11" t="str">
        <f t="shared" si="2"/>
        <v>211:化学</v>
      </c>
      <c r="J37" s="11" t="s">
        <v>12</v>
      </c>
      <c r="K37" s="12" t="s">
        <v>32</v>
      </c>
      <c r="L37" s="15">
        <v>75.22</v>
      </c>
      <c r="M37" s="11">
        <v>5</v>
      </c>
      <c r="N37" s="20"/>
    </row>
    <row r="38" spans="1:14" s="10" customFormat="1" ht="33" customHeight="1">
      <c r="A38" s="11">
        <v>35</v>
      </c>
      <c r="B38" s="11" t="str">
        <f>"王海燕"</f>
        <v>王海燕</v>
      </c>
      <c r="C38" s="11" t="str">
        <f>"女        "</f>
        <v xml:space="preserve">女        </v>
      </c>
      <c r="D38" s="11" t="str">
        <f>"回族"</f>
        <v>回族</v>
      </c>
      <c r="E38" s="11" t="str">
        <f>"522427199209042049"</f>
        <v>522427199209042049</v>
      </c>
      <c r="F38" s="11" t="str">
        <f>"18375209153"</f>
        <v>18375209153</v>
      </c>
      <c r="G38" s="11" t="str">
        <f>"贵州省威宁县中水镇"</f>
        <v>贵州省威宁县中水镇</v>
      </c>
      <c r="H38" s="11" t="str">
        <f t="shared" si="3"/>
        <v>初中</v>
      </c>
      <c r="I38" s="11" t="str">
        <f t="shared" si="2"/>
        <v>211:化学</v>
      </c>
      <c r="J38" s="11" t="s">
        <v>12</v>
      </c>
      <c r="K38" s="12" t="s">
        <v>32</v>
      </c>
      <c r="L38" s="23" t="s">
        <v>45</v>
      </c>
      <c r="M38" s="11">
        <v>6</v>
      </c>
      <c r="N38" s="20"/>
    </row>
    <row r="39" spans="1:14" s="10" customFormat="1" ht="33" customHeight="1">
      <c r="A39" s="11">
        <v>36</v>
      </c>
      <c r="B39" s="11" t="str">
        <f>"徐秀月"</f>
        <v>徐秀月</v>
      </c>
      <c r="C39" s="11" t="str">
        <f>"女        "</f>
        <v xml:space="preserve">女        </v>
      </c>
      <c r="D39" s="11" t="str">
        <f>"汉族"</f>
        <v>汉族</v>
      </c>
      <c r="E39" s="11" t="str">
        <f>"530328199509133322"</f>
        <v>530328199509133322</v>
      </c>
      <c r="F39" s="11" t="str">
        <f>"18388616793"</f>
        <v>18388616793</v>
      </c>
      <c r="G39" s="11" t="str">
        <f>"云南省曲靖市沾益区大坡乡新庄村委会布里村"</f>
        <v>云南省曲靖市沾益区大坡乡新庄村委会布里村</v>
      </c>
      <c r="H39" s="11" t="str">
        <f t="shared" si="3"/>
        <v>初中</v>
      </c>
      <c r="I39" s="11" t="str">
        <f t="shared" si="2"/>
        <v>211:化学</v>
      </c>
      <c r="J39" s="11" t="s">
        <v>13</v>
      </c>
      <c r="K39" s="12" t="s">
        <v>32</v>
      </c>
      <c r="L39" s="15">
        <v>85.11</v>
      </c>
      <c r="M39" s="27">
        <v>1</v>
      </c>
      <c r="N39" s="20" t="s">
        <v>46</v>
      </c>
    </row>
    <row r="40" spans="1:14" s="10" customFormat="1" ht="33" customHeight="1">
      <c r="A40" s="11">
        <v>37</v>
      </c>
      <c r="B40" s="11" t="str">
        <f>"杨家艳"</f>
        <v>杨家艳</v>
      </c>
      <c r="C40" s="11" t="str">
        <f>"女        "</f>
        <v xml:space="preserve">女        </v>
      </c>
      <c r="D40" s="11" t="str">
        <f>"汉族"</f>
        <v>汉族</v>
      </c>
      <c r="E40" s="11" t="str">
        <f>"522322198912040588"</f>
        <v>522322198912040588</v>
      </c>
      <c r="F40" s="11" t="str">
        <f>"18216728084"</f>
        <v>18216728084</v>
      </c>
      <c r="G40" s="11" t="str">
        <f>"贵州省兴仁县回龙镇落水洞村立山二组"</f>
        <v>贵州省兴仁县回龙镇落水洞村立山二组</v>
      </c>
      <c r="H40" s="11" t="str">
        <f t="shared" si="3"/>
        <v>初中</v>
      </c>
      <c r="I40" s="11" t="str">
        <f t="shared" si="2"/>
        <v>211:化学</v>
      </c>
      <c r="J40" s="11" t="s">
        <v>13</v>
      </c>
      <c r="K40" s="12" t="s">
        <v>32</v>
      </c>
      <c r="L40" s="15">
        <v>84.26</v>
      </c>
      <c r="M40" s="11">
        <v>2</v>
      </c>
      <c r="N40" s="20"/>
    </row>
    <row r="41" spans="1:14" s="10" customFormat="1" ht="33" customHeight="1">
      <c r="A41" s="11">
        <v>38</v>
      </c>
      <c r="B41" s="11" t="str">
        <f>"张军"</f>
        <v>张军</v>
      </c>
      <c r="C41" s="11" t="str">
        <f>"男        "</f>
        <v xml:space="preserve">男        </v>
      </c>
      <c r="D41" s="11" t="str">
        <f>"汉族"</f>
        <v>汉族</v>
      </c>
      <c r="E41" s="11" t="str">
        <f>"532124199202051117"</f>
        <v>532124199202051117</v>
      </c>
      <c r="F41" s="11" t="str">
        <f>"15288625926"</f>
        <v>15288625926</v>
      </c>
      <c r="G41" s="11" t="str">
        <f>"云南省昭通市盐津县滩头乡花秋村"</f>
        <v>云南省昭通市盐津县滩头乡花秋村</v>
      </c>
      <c r="H41" s="11" t="str">
        <f t="shared" si="3"/>
        <v>初中</v>
      </c>
      <c r="I41" s="11" t="str">
        <f t="shared" si="2"/>
        <v>211:化学</v>
      </c>
      <c r="J41" s="11" t="s">
        <v>13</v>
      </c>
      <c r="K41" s="12" t="s">
        <v>32</v>
      </c>
      <c r="L41" s="15">
        <v>83.58</v>
      </c>
      <c r="M41" s="11">
        <v>3</v>
      </c>
      <c r="N41" s="20"/>
    </row>
    <row r="42" spans="1:14" s="10" customFormat="1" ht="33" customHeight="1">
      <c r="A42" s="11">
        <v>39</v>
      </c>
      <c r="B42" s="11" t="str">
        <f>"覃堂"</f>
        <v>覃堂</v>
      </c>
      <c r="C42" s="11" t="str">
        <f>"男        "</f>
        <v xml:space="preserve">男        </v>
      </c>
      <c r="D42" s="11" t="str">
        <f>"壮族"</f>
        <v>壮族</v>
      </c>
      <c r="E42" s="11" t="str">
        <f>"452631199303114552"</f>
        <v>452631199303114552</v>
      </c>
      <c r="F42" s="11" t="str">
        <f>"19977643747"</f>
        <v>19977643747</v>
      </c>
      <c r="G42" s="11" t="str">
        <f>"广西百色市隆林各族自治县岩茶乡平班村坝卡屯23号"</f>
        <v>广西百色市隆林各族自治县岩茶乡平班村坝卡屯23号</v>
      </c>
      <c r="H42" s="11" t="str">
        <f t="shared" si="3"/>
        <v>初中</v>
      </c>
      <c r="I42" s="11" t="str">
        <f t="shared" si="2"/>
        <v>211:化学</v>
      </c>
      <c r="J42" s="11" t="s">
        <v>13</v>
      </c>
      <c r="K42" s="12" t="s">
        <v>32</v>
      </c>
      <c r="L42" s="15">
        <v>82.59</v>
      </c>
      <c r="M42" s="11">
        <v>4</v>
      </c>
      <c r="N42" s="20"/>
    </row>
    <row r="43" spans="1:14" s="10" customFormat="1" ht="33" customHeight="1">
      <c r="A43" s="11">
        <v>40</v>
      </c>
      <c r="B43" s="11" t="str">
        <f>"谢海霞"</f>
        <v>谢海霞</v>
      </c>
      <c r="C43" s="11" t="str">
        <f>"女        "</f>
        <v xml:space="preserve">女        </v>
      </c>
      <c r="D43" s="11" t="str">
        <f>"汉族"</f>
        <v>汉族</v>
      </c>
      <c r="E43" s="11" t="str">
        <f>"530322199304251968"</f>
        <v>530322199304251968</v>
      </c>
      <c r="F43" s="11" t="str">
        <f>"18608746874"</f>
        <v>18608746874</v>
      </c>
      <c r="G43" s="11" t="str">
        <f>"云南省曲靖市陆良县马街镇金家村一社"</f>
        <v>云南省曲靖市陆良县马街镇金家村一社</v>
      </c>
      <c r="H43" s="11" t="str">
        <f t="shared" si="3"/>
        <v>初中</v>
      </c>
      <c r="I43" s="11" t="str">
        <f t="shared" si="2"/>
        <v>211:化学</v>
      </c>
      <c r="J43" s="11" t="s">
        <v>13</v>
      </c>
      <c r="K43" s="12" t="s">
        <v>32</v>
      </c>
      <c r="L43" s="15">
        <v>82.38</v>
      </c>
      <c r="M43" s="11">
        <v>5</v>
      </c>
      <c r="N43" s="20"/>
    </row>
    <row r="44" spans="1:14" s="10" customFormat="1" ht="33" customHeight="1">
      <c r="A44" s="11">
        <v>41</v>
      </c>
      <c r="B44" s="11" t="str">
        <f>"王孝洪"</f>
        <v>王孝洪</v>
      </c>
      <c r="C44" s="11" t="str">
        <f>"男        "</f>
        <v xml:space="preserve">男        </v>
      </c>
      <c r="D44" s="11" t="str">
        <f>"汉族"</f>
        <v>汉族</v>
      </c>
      <c r="E44" s="11" t="str">
        <f>"522322198902221414"</f>
        <v>522322198902221414</v>
      </c>
      <c r="F44" s="11" t="str">
        <f>"18798753824"</f>
        <v>18798753824</v>
      </c>
      <c r="G44" s="11" t="str">
        <f>"贵州省兴仁县大山镇高寨村潘家山组11号"</f>
        <v>贵州省兴仁县大山镇高寨村潘家山组11号</v>
      </c>
      <c r="H44" s="11" t="str">
        <f t="shared" si="3"/>
        <v>初中</v>
      </c>
      <c r="I44" s="11" t="str">
        <f t="shared" si="2"/>
        <v>211:化学</v>
      </c>
      <c r="J44" s="11" t="s">
        <v>13</v>
      </c>
      <c r="K44" s="12" t="s">
        <v>32</v>
      </c>
      <c r="L44" s="15">
        <v>81.849999999999994</v>
      </c>
      <c r="M44" s="11">
        <v>6</v>
      </c>
      <c r="N44" s="20"/>
    </row>
    <row r="45" spans="1:14" s="10" customFormat="1" ht="33" customHeight="1">
      <c r="A45" s="11">
        <v>42</v>
      </c>
      <c r="B45" s="11" t="str">
        <f>"黄晓芳"</f>
        <v>黄晓芳</v>
      </c>
      <c r="C45" s="11" t="str">
        <f>"女        "</f>
        <v xml:space="preserve">女        </v>
      </c>
      <c r="D45" s="11" t="str">
        <f>"壮族"</f>
        <v>壮族</v>
      </c>
      <c r="E45" s="11" t="str">
        <f>"452626199301133206"</f>
        <v>452626199301133206</v>
      </c>
      <c r="F45" s="11" t="str">
        <f>"18178697267"</f>
        <v>18178697267</v>
      </c>
      <c r="G45" s="11" t="str">
        <f>"广西百色市靖西市南坡乡明学村果巴屯11号"</f>
        <v>广西百色市靖西市南坡乡明学村果巴屯11号</v>
      </c>
      <c r="H45" s="11" t="str">
        <f t="shared" si="3"/>
        <v>初中</v>
      </c>
      <c r="I45" s="11" t="str">
        <f t="shared" si="2"/>
        <v>211:化学</v>
      </c>
      <c r="J45" s="11" t="s">
        <v>14</v>
      </c>
      <c r="K45" s="12" t="s">
        <v>32</v>
      </c>
      <c r="L45" s="15">
        <v>85.77</v>
      </c>
      <c r="M45" s="27">
        <v>1</v>
      </c>
      <c r="N45" s="20" t="s">
        <v>46</v>
      </c>
    </row>
    <row r="46" spans="1:14" s="10" customFormat="1" ht="33" customHeight="1">
      <c r="A46" s="11">
        <v>43</v>
      </c>
      <c r="B46" s="11" t="str">
        <f>"王孝贞"</f>
        <v>王孝贞</v>
      </c>
      <c r="C46" s="11" t="str">
        <f>"女        "</f>
        <v xml:space="preserve">女        </v>
      </c>
      <c r="D46" s="11" t="str">
        <f t="shared" ref="D46:D53" si="4">"汉族"</f>
        <v>汉族</v>
      </c>
      <c r="E46" s="11" t="str">
        <f>"522322199201121423"</f>
        <v>522322199201121423</v>
      </c>
      <c r="F46" s="11" t="str">
        <f>"18785241984"</f>
        <v>18785241984</v>
      </c>
      <c r="G46" s="11" t="str">
        <f>"贵州省兴仁县大山镇高寨村潘家山组"</f>
        <v>贵州省兴仁县大山镇高寨村潘家山组</v>
      </c>
      <c r="H46" s="11" t="str">
        <f t="shared" si="3"/>
        <v>初中</v>
      </c>
      <c r="I46" s="11" t="str">
        <f t="shared" si="2"/>
        <v>211:化学</v>
      </c>
      <c r="J46" s="11" t="s">
        <v>14</v>
      </c>
      <c r="K46" s="12" t="s">
        <v>32</v>
      </c>
      <c r="L46" s="15">
        <v>84.72</v>
      </c>
      <c r="M46" s="11">
        <v>2</v>
      </c>
      <c r="N46" s="20"/>
    </row>
    <row r="47" spans="1:14" s="10" customFormat="1" ht="33" customHeight="1">
      <c r="A47" s="11">
        <v>44</v>
      </c>
      <c r="B47" s="11" t="str">
        <f>"黄飞"</f>
        <v>黄飞</v>
      </c>
      <c r="C47" s="11" t="str">
        <f>"男        "</f>
        <v xml:space="preserve">男        </v>
      </c>
      <c r="D47" s="11" t="str">
        <f t="shared" si="4"/>
        <v>汉族</v>
      </c>
      <c r="E47" s="11" t="str">
        <f>"532627199402140719"</f>
        <v>532627199402140719</v>
      </c>
      <c r="F47" s="11" t="str">
        <f>"15912481991"</f>
        <v>15912481991</v>
      </c>
      <c r="G47" s="11" t="str">
        <f>"云南省广南县莲城镇龙进社区红泥冲小组"</f>
        <v>云南省广南县莲城镇龙进社区红泥冲小组</v>
      </c>
      <c r="H47" s="11" t="str">
        <f t="shared" si="3"/>
        <v>初中</v>
      </c>
      <c r="I47" s="11" t="str">
        <f t="shared" si="2"/>
        <v>211:化学</v>
      </c>
      <c r="J47" s="11" t="s">
        <v>14</v>
      </c>
      <c r="K47" s="12" t="s">
        <v>32</v>
      </c>
      <c r="L47" s="15">
        <v>84.5</v>
      </c>
      <c r="M47" s="11">
        <v>3</v>
      </c>
      <c r="N47" s="20"/>
    </row>
    <row r="48" spans="1:14" s="10" customFormat="1" ht="33" customHeight="1">
      <c r="A48" s="11">
        <v>45</v>
      </c>
      <c r="B48" s="11" t="str">
        <f>"赵文丽"</f>
        <v>赵文丽</v>
      </c>
      <c r="C48" s="11" t="str">
        <f>"女        "</f>
        <v xml:space="preserve">女        </v>
      </c>
      <c r="D48" s="11" t="str">
        <f t="shared" si="4"/>
        <v>汉族</v>
      </c>
      <c r="E48" s="11" t="str">
        <f>"530328199101181822"</f>
        <v>530328199101181822</v>
      </c>
      <c r="F48" s="11" t="str">
        <f>"15388746610"</f>
        <v>15388746610</v>
      </c>
      <c r="G48" s="11" t="str">
        <f>"云南省曲靖市沾益县"</f>
        <v>云南省曲靖市沾益县</v>
      </c>
      <c r="H48" s="11" t="str">
        <f t="shared" si="3"/>
        <v>初中</v>
      </c>
      <c r="I48" s="11" t="str">
        <f t="shared" si="2"/>
        <v>211:化学</v>
      </c>
      <c r="J48" s="11" t="s">
        <v>14</v>
      </c>
      <c r="K48" s="12" t="s">
        <v>32</v>
      </c>
      <c r="L48" s="15">
        <v>83.81</v>
      </c>
      <c r="M48" s="11">
        <v>4</v>
      </c>
      <c r="N48" s="20"/>
    </row>
    <row r="49" spans="1:14" s="10" customFormat="1" ht="33" customHeight="1">
      <c r="A49" s="11">
        <v>46</v>
      </c>
      <c r="B49" s="11" t="str">
        <f>"付国友"</f>
        <v>付国友</v>
      </c>
      <c r="C49" s="11" t="str">
        <f>"男        "</f>
        <v xml:space="preserve">男        </v>
      </c>
      <c r="D49" s="11" t="str">
        <f t="shared" si="4"/>
        <v>汉族</v>
      </c>
      <c r="E49" s="11" t="str">
        <f>"522425199010150998"</f>
        <v>522425199010150998</v>
      </c>
      <c r="F49" s="11" t="str">
        <f>"18786766361"</f>
        <v>18786766361</v>
      </c>
      <c r="G49" s="11" t="str">
        <f>"贵州省毕节市织金县绮陌乡中营村街上组"</f>
        <v>贵州省毕节市织金县绮陌乡中营村街上组</v>
      </c>
      <c r="H49" s="11" t="str">
        <f t="shared" si="3"/>
        <v>初中</v>
      </c>
      <c r="I49" s="11" t="str">
        <f t="shared" si="2"/>
        <v>211:化学</v>
      </c>
      <c r="J49" s="11" t="s">
        <v>14</v>
      </c>
      <c r="K49" s="12" t="s">
        <v>32</v>
      </c>
      <c r="L49" s="15">
        <v>81.33</v>
      </c>
      <c r="M49" s="11">
        <v>5</v>
      </c>
      <c r="N49" s="20"/>
    </row>
    <row r="50" spans="1:14" s="10" customFormat="1" ht="33" customHeight="1">
      <c r="A50" s="11">
        <v>47</v>
      </c>
      <c r="B50" s="11" t="str">
        <f>"覃德江"</f>
        <v>覃德江</v>
      </c>
      <c r="C50" s="11" t="str">
        <f>"男        "</f>
        <v xml:space="preserve">男        </v>
      </c>
      <c r="D50" s="11" t="str">
        <f t="shared" si="4"/>
        <v>汉族</v>
      </c>
      <c r="E50" s="11" t="str">
        <f>"522322199311051331"</f>
        <v>522322199311051331</v>
      </c>
      <c r="F50" s="11" t="str">
        <f>"15508510881"</f>
        <v>15508510881</v>
      </c>
      <c r="G50" s="11" t="str">
        <f>"贵州省兴仁县马马崖镇"</f>
        <v>贵州省兴仁县马马崖镇</v>
      </c>
      <c r="H50" s="11" t="str">
        <f t="shared" si="3"/>
        <v>初中</v>
      </c>
      <c r="I50" s="11" t="str">
        <f t="shared" si="2"/>
        <v>211:化学</v>
      </c>
      <c r="J50" s="11" t="s">
        <v>14</v>
      </c>
      <c r="K50" s="12" t="s">
        <v>32</v>
      </c>
      <c r="L50" s="15">
        <v>80.599999999999994</v>
      </c>
      <c r="M50" s="11">
        <v>6</v>
      </c>
      <c r="N50" s="20"/>
    </row>
    <row r="51" spans="1:14" s="10" customFormat="1" ht="33" customHeight="1">
      <c r="A51" s="11">
        <v>48</v>
      </c>
      <c r="B51" s="11" t="str">
        <f>"杨琴"</f>
        <v>杨琴</v>
      </c>
      <c r="C51" s="11" t="str">
        <f>"女        "</f>
        <v xml:space="preserve">女        </v>
      </c>
      <c r="D51" s="11" t="str">
        <f t="shared" si="4"/>
        <v>汉族</v>
      </c>
      <c r="E51" s="11" t="str">
        <f>"452631199405280324"</f>
        <v>452631199405280324</v>
      </c>
      <c r="F51" s="11" t="str">
        <f>"18807774096"</f>
        <v>18807774096</v>
      </c>
      <c r="G51" s="11" t="str">
        <f>"广西百色市隆林各族自治县桠杈镇生基湾村毛家坡屯"</f>
        <v>广西百色市隆林各族自治县桠杈镇生基湾村毛家坡屯</v>
      </c>
      <c r="H51" s="11" t="str">
        <f t="shared" si="3"/>
        <v>初中</v>
      </c>
      <c r="I51" s="11" t="str">
        <f t="shared" si="2"/>
        <v>211:化学</v>
      </c>
      <c r="J51" s="11" t="s">
        <v>14</v>
      </c>
      <c r="K51" s="12" t="s">
        <v>32</v>
      </c>
      <c r="L51" s="15">
        <v>79.12</v>
      </c>
      <c r="M51" s="11">
        <v>7</v>
      </c>
      <c r="N51" s="20"/>
    </row>
    <row r="52" spans="1:14" s="10" customFormat="1" ht="33" customHeight="1">
      <c r="A52" s="11">
        <v>49</v>
      </c>
      <c r="B52" s="11" t="str">
        <f>"秦莉"</f>
        <v>秦莉</v>
      </c>
      <c r="C52" s="11" t="str">
        <f>"女        "</f>
        <v xml:space="preserve">女        </v>
      </c>
      <c r="D52" s="11" t="str">
        <f t="shared" si="4"/>
        <v>汉族</v>
      </c>
      <c r="E52" s="11" t="str">
        <f>"532130199608301144"</f>
        <v>532130199608301144</v>
      </c>
      <c r="F52" s="11" t="str">
        <f>"15187891425"</f>
        <v>15187891425</v>
      </c>
      <c r="G52" s="11" t="str">
        <f>"云南省昭通市威信县罗布镇罗布村苟家山村民小组3号"</f>
        <v>云南省昭通市威信县罗布镇罗布村苟家山村民小组3号</v>
      </c>
      <c r="H52" s="11" t="str">
        <f t="shared" si="3"/>
        <v>初中</v>
      </c>
      <c r="I52" s="11" t="str">
        <f t="shared" si="2"/>
        <v>211:化学</v>
      </c>
      <c r="J52" s="11" t="s">
        <v>14</v>
      </c>
      <c r="K52" s="12" t="s">
        <v>32</v>
      </c>
      <c r="L52" s="23" t="s">
        <v>45</v>
      </c>
      <c r="M52" s="11">
        <v>8</v>
      </c>
      <c r="N52" s="20"/>
    </row>
    <row r="53" spans="1:14" s="10" customFormat="1" ht="33" customHeight="1">
      <c r="A53" s="11">
        <v>50</v>
      </c>
      <c r="B53" s="11" t="str">
        <f>"林枷吕"</f>
        <v>林枷吕</v>
      </c>
      <c r="C53" s="11" t="str">
        <f>"男        "</f>
        <v xml:space="preserve">男        </v>
      </c>
      <c r="D53" s="11" t="str">
        <f t="shared" si="4"/>
        <v>汉族</v>
      </c>
      <c r="E53" s="11" t="str">
        <f>"452631199406243891"</f>
        <v>452631199406243891</v>
      </c>
      <c r="F53" s="11" t="str">
        <f>"13377110646"</f>
        <v>13377110646</v>
      </c>
      <c r="G53" s="11" t="str">
        <f>"广西省百色市隆林各族自治县蛇场乡同党村大竹林屯19号"</f>
        <v>广西省百色市隆林各族自治县蛇场乡同党村大竹林屯19号</v>
      </c>
      <c r="H53" s="11" t="str">
        <f t="shared" si="3"/>
        <v>初中</v>
      </c>
      <c r="I53" s="11" t="str">
        <f t="shared" ref="I53:I77" si="5">"212:体育"</f>
        <v>212:体育</v>
      </c>
      <c r="J53" s="11"/>
      <c r="K53" s="1" t="s">
        <v>15</v>
      </c>
      <c r="L53" s="15">
        <v>86.34</v>
      </c>
      <c r="M53" s="27">
        <v>1</v>
      </c>
      <c r="N53" s="20" t="s">
        <v>46</v>
      </c>
    </row>
    <row r="54" spans="1:14" s="10" customFormat="1" ht="33" customHeight="1">
      <c r="A54" s="11">
        <v>51</v>
      </c>
      <c r="B54" s="11" t="str">
        <f>"蒙希"</f>
        <v>蒙希</v>
      </c>
      <c r="C54" s="11" t="str">
        <f>"女        "</f>
        <v xml:space="preserve">女        </v>
      </c>
      <c r="D54" s="11" t="str">
        <f>"壮族"</f>
        <v>壮族</v>
      </c>
      <c r="E54" s="11" t="str">
        <f>"452632199506020026"</f>
        <v>452632199506020026</v>
      </c>
      <c r="F54" s="11" t="str">
        <f>"18377114990"</f>
        <v>18377114990</v>
      </c>
      <c r="G54" s="11" t="str">
        <f>"广西百色市西林县八达镇那卡村"</f>
        <v>广西百色市西林县八达镇那卡村</v>
      </c>
      <c r="H54" s="11" t="str">
        <f t="shared" si="3"/>
        <v>初中</v>
      </c>
      <c r="I54" s="11" t="str">
        <f t="shared" si="5"/>
        <v>212:体育</v>
      </c>
      <c r="J54" s="11"/>
      <c r="K54" s="1" t="s">
        <v>15</v>
      </c>
      <c r="L54" s="15">
        <v>86.3</v>
      </c>
      <c r="M54" s="27">
        <v>2</v>
      </c>
      <c r="N54" s="20" t="s">
        <v>46</v>
      </c>
    </row>
    <row r="55" spans="1:14" s="10" customFormat="1" ht="33" customHeight="1">
      <c r="A55" s="11">
        <v>52</v>
      </c>
      <c r="B55" s="11" t="str">
        <f>"马贤飞"</f>
        <v>马贤飞</v>
      </c>
      <c r="C55" s="11" t="str">
        <f t="shared" ref="C55:C60" si="6">"男        "</f>
        <v xml:space="preserve">男        </v>
      </c>
      <c r="D55" s="11" t="str">
        <f>"汉族"</f>
        <v>汉族</v>
      </c>
      <c r="E55" s="11" t="str">
        <f>"522321199112098253"</f>
        <v>522321199112098253</v>
      </c>
      <c r="F55" s="11" t="str">
        <f>"18185938857"</f>
        <v>18185938857</v>
      </c>
      <c r="G55" s="11" t="str">
        <f>"贵州省兴义市鲁布格镇"</f>
        <v>贵州省兴义市鲁布格镇</v>
      </c>
      <c r="H55" s="11" t="str">
        <f t="shared" si="3"/>
        <v>初中</v>
      </c>
      <c r="I55" s="11" t="str">
        <f t="shared" si="5"/>
        <v>212:体育</v>
      </c>
      <c r="J55" s="11"/>
      <c r="K55" s="1" t="s">
        <v>15</v>
      </c>
      <c r="L55" s="15">
        <v>86.22</v>
      </c>
      <c r="M55" s="27">
        <v>3</v>
      </c>
      <c r="N55" s="20" t="s">
        <v>46</v>
      </c>
    </row>
    <row r="56" spans="1:14" s="10" customFormat="1" ht="33" customHeight="1">
      <c r="A56" s="11">
        <v>53</v>
      </c>
      <c r="B56" s="11" t="str">
        <f>"阮成东"</f>
        <v>阮成东</v>
      </c>
      <c r="C56" s="11" t="str">
        <f t="shared" si="6"/>
        <v xml:space="preserve">男        </v>
      </c>
      <c r="D56" s="11" t="str">
        <f>"汉族"</f>
        <v>汉族</v>
      </c>
      <c r="E56" s="11" t="str">
        <f>"451031199507010970"</f>
        <v>451031199507010970</v>
      </c>
      <c r="F56" s="11" t="str">
        <f>"18775650971"</f>
        <v>18775650971</v>
      </c>
      <c r="G56" s="11" t="str">
        <f>"广西隆林各族自治县隆或乡打兰村沙地屯008号"</f>
        <v>广西隆林各族自治县隆或乡打兰村沙地屯008号</v>
      </c>
      <c r="H56" s="11" t="str">
        <f t="shared" si="3"/>
        <v>初中</v>
      </c>
      <c r="I56" s="11" t="str">
        <f t="shared" si="5"/>
        <v>212:体育</v>
      </c>
      <c r="J56" s="11"/>
      <c r="K56" s="1" t="s">
        <v>15</v>
      </c>
      <c r="L56" s="15">
        <v>85.98</v>
      </c>
      <c r="M56" s="27">
        <v>4</v>
      </c>
      <c r="N56" s="20" t="s">
        <v>46</v>
      </c>
    </row>
    <row r="57" spans="1:14" s="10" customFormat="1" ht="33" customHeight="1">
      <c r="A57" s="11">
        <v>54</v>
      </c>
      <c r="B57" s="11" t="str">
        <f>"朱万林"</f>
        <v>朱万林</v>
      </c>
      <c r="C57" s="11" t="str">
        <f t="shared" si="6"/>
        <v xml:space="preserve">男        </v>
      </c>
      <c r="D57" s="11" t="str">
        <f>"汉族"</f>
        <v>汉族</v>
      </c>
      <c r="E57" s="11" t="str">
        <f>"52232219910103041X"</f>
        <v>52232219910103041X</v>
      </c>
      <c r="F57" s="11" t="str">
        <f>"15885647815"</f>
        <v>15885647815</v>
      </c>
      <c r="G57" s="11" t="str">
        <f>"贵州省兴仁县巴铃镇易家寨村易九组20号"</f>
        <v>贵州省兴仁县巴铃镇易家寨村易九组20号</v>
      </c>
      <c r="H57" s="11" t="str">
        <f t="shared" si="3"/>
        <v>初中</v>
      </c>
      <c r="I57" s="11" t="str">
        <f t="shared" si="5"/>
        <v>212:体育</v>
      </c>
      <c r="J57" s="11"/>
      <c r="K57" s="1" t="s">
        <v>15</v>
      </c>
      <c r="L57" s="15">
        <v>85.84</v>
      </c>
      <c r="M57" s="27">
        <v>5</v>
      </c>
      <c r="N57" s="20" t="s">
        <v>46</v>
      </c>
    </row>
    <row r="58" spans="1:14" s="10" customFormat="1" ht="33" customHeight="1">
      <c r="A58" s="11">
        <v>55</v>
      </c>
      <c r="B58" s="11" t="str">
        <f>"李成全"</f>
        <v>李成全</v>
      </c>
      <c r="C58" s="11" t="str">
        <f t="shared" si="6"/>
        <v xml:space="preserve">男        </v>
      </c>
      <c r="D58" s="11" t="str">
        <f>"布依族"</f>
        <v>布依族</v>
      </c>
      <c r="E58" s="11" t="str">
        <f>"522328199304193719"</f>
        <v>522328199304193719</v>
      </c>
      <c r="F58" s="11" t="str">
        <f>"15180748097"</f>
        <v>15180748097</v>
      </c>
      <c r="G58" s="11" t="str">
        <f>"贵州省安龙县戈塘镇这磨村河边组"</f>
        <v>贵州省安龙县戈塘镇这磨村河边组</v>
      </c>
      <c r="H58" s="11" t="str">
        <f t="shared" si="3"/>
        <v>初中</v>
      </c>
      <c r="I58" s="11" t="str">
        <f t="shared" si="5"/>
        <v>212:体育</v>
      </c>
      <c r="J58" s="11"/>
      <c r="K58" s="1" t="s">
        <v>15</v>
      </c>
      <c r="L58" s="15">
        <v>85.08</v>
      </c>
      <c r="M58" s="11">
        <v>6</v>
      </c>
      <c r="N58" s="20"/>
    </row>
    <row r="59" spans="1:14" s="10" customFormat="1" ht="33" customHeight="1">
      <c r="A59" s="11">
        <v>56</v>
      </c>
      <c r="B59" s="11" t="str">
        <f>"彭界明"</f>
        <v>彭界明</v>
      </c>
      <c r="C59" s="11" t="str">
        <f t="shared" si="6"/>
        <v xml:space="preserve">男        </v>
      </c>
      <c r="D59" s="11" t="str">
        <f>"汉族"</f>
        <v>汉族</v>
      </c>
      <c r="E59" s="11" t="str">
        <f>"522328199309091236"</f>
        <v>522328199309091236</v>
      </c>
      <c r="F59" s="11" t="str">
        <f>"13312492797"</f>
        <v>13312492797</v>
      </c>
      <c r="G59" s="11" t="str">
        <f>"贵州省安龙县木咱镇坝力村一组41号"</f>
        <v>贵州省安龙县木咱镇坝力村一组41号</v>
      </c>
      <c r="H59" s="11" t="str">
        <f t="shared" si="3"/>
        <v>初中</v>
      </c>
      <c r="I59" s="11" t="str">
        <f t="shared" si="5"/>
        <v>212:体育</v>
      </c>
      <c r="J59" s="11"/>
      <c r="K59" s="1" t="s">
        <v>15</v>
      </c>
      <c r="L59" s="15">
        <v>84.62</v>
      </c>
      <c r="M59" s="11">
        <v>7</v>
      </c>
      <c r="N59" s="20"/>
    </row>
    <row r="60" spans="1:14" s="10" customFormat="1" ht="33" customHeight="1">
      <c r="A60" s="11">
        <v>57</v>
      </c>
      <c r="B60" s="11" t="str">
        <f>"余万泽"</f>
        <v>余万泽</v>
      </c>
      <c r="C60" s="11" t="str">
        <f t="shared" si="6"/>
        <v xml:space="preserve">男        </v>
      </c>
      <c r="D60" s="11" t="str">
        <f>"汉族"</f>
        <v>汉族</v>
      </c>
      <c r="E60" s="11" t="str">
        <f>"522328199110082834"</f>
        <v>522328199110082834</v>
      </c>
      <c r="F60" s="11" t="str">
        <f>"18230823189"</f>
        <v>18230823189</v>
      </c>
      <c r="G60" s="11" t="str">
        <f>"贵州省安龙县洒雨镇"</f>
        <v>贵州省安龙县洒雨镇</v>
      </c>
      <c r="H60" s="11" t="str">
        <f t="shared" si="3"/>
        <v>初中</v>
      </c>
      <c r="I60" s="11" t="str">
        <f t="shared" si="5"/>
        <v>212:体育</v>
      </c>
      <c r="J60" s="11"/>
      <c r="K60" s="1" t="s">
        <v>15</v>
      </c>
      <c r="L60" s="15">
        <v>84.46</v>
      </c>
      <c r="M60" s="11">
        <v>8</v>
      </c>
      <c r="N60" s="20"/>
    </row>
    <row r="61" spans="1:14" s="10" customFormat="1" ht="33" customHeight="1">
      <c r="A61" s="11">
        <v>58</v>
      </c>
      <c r="B61" s="11" t="str">
        <f>"黄廷婷"</f>
        <v>黄廷婷</v>
      </c>
      <c r="C61" s="11" t="str">
        <f>"女        "</f>
        <v xml:space="preserve">女        </v>
      </c>
      <c r="D61" s="11" t="str">
        <f>"布依族"</f>
        <v>布依族</v>
      </c>
      <c r="E61" s="11" t="str">
        <f>"522327199410201640"</f>
        <v>522327199410201640</v>
      </c>
      <c r="F61" s="11" t="str">
        <f>"15761644079"</f>
        <v>15761644079</v>
      </c>
      <c r="G61" s="11" t="str">
        <f>"贵州省册亨县丫他镇海子村大寨组"</f>
        <v>贵州省册亨县丫他镇海子村大寨组</v>
      </c>
      <c r="H61" s="11" t="str">
        <f t="shared" si="3"/>
        <v>初中</v>
      </c>
      <c r="I61" s="11" t="str">
        <f t="shared" si="5"/>
        <v>212:体育</v>
      </c>
      <c r="J61" s="11"/>
      <c r="K61" s="1" t="s">
        <v>15</v>
      </c>
      <c r="L61" s="15">
        <v>84.26</v>
      </c>
      <c r="M61" s="11">
        <v>9</v>
      </c>
      <c r="N61" s="20"/>
    </row>
    <row r="62" spans="1:14" s="10" customFormat="1" ht="33" customHeight="1">
      <c r="A62" s="11">
        <v>59</v>
      </c>
      <c r="B62" s="11" t="str">
        <f>"王幹"</f>
        <v>王幹</v>
      </c>
      <c r="C62" s="11" t="str">
        <f>"男        "</f>
        <v xml:space="preserve">男        </v>
      </c>
      <c r="D62" s="11" t="str">
        <f>"哈尼族"</f>
        <v>哈尼族</v>
      </c>
      <c r="E62" s="11" t="str">
        <f>"532723199005250017"</f>
        <v>532723199005250017</v>
      </c>
      <c r="F62" s="11" t="str">
        <f>"15198731620"</f>
        <v>15198731620</v>
      </c>
      <c r="G62" s="11" t="str">
        <f>"云南普洱墨江"</f>
        <v>云南普洱墨江</v>
      </c>
      <c r="H62" s="11" t="str">
        <f t="shared" si="3"/>
        <v>初中</v>
      </c>
      <c r="I62" s="11" t="str">
        <f t="shared" si="5"/>
        <v>212:体育</v>
      </c>
      <c r="J62" s="11"/>
      <c r="K62" s="1" t="s">
        <v>15</v>
      </c>
      <c r="L62" s="15">
        <v>83.74</v>
      </c>
      <c r="M62" s="11">
        <v>10</v>
      </c>
      <c r="N62" s="20"/>
    </row>
    <row r="63" spans="1:14" s="10" customFormat="1" ht="33" customHeight="1">
      <c r="A63" s="11">
        <v>60</v>
      </c>
      <c r="B63" s="11" t="str">
        <f>"张安建"</f>
        <v>张安建</v>
      </c>
      <c r="C63" s="11" t="str">
        <f>"男        "</f>
        <v xml:space="preserve">男        </v>
      </c>
      <c r="D63" s="11" t="str">
        <f>"汉族"</f>
        <v>汉族</v>
      </c>
      <c r="E63" s="11" t="str">
        <f>"52232219941208161X"</f>
        <v>52232219941208161X</v>
      </c>
      <c r="F63" s="11" t="str">
        <f>"18722815960"</f>
        <v>18722815960</v>
      </c>
      <c r="G63" s="11" t="str">
        <f>"贵州省兴仁县雨樟镇上坝田村上坝田组35号"</f>
        <v>贵州省兴仁县雨樟镇上坝田村上坝田组35号</v>
      </c>
      <c r="H63" s="11" t="str">
        <f t="shared" si="3"/>
        <v>初中</v>
      </c>
      <c r="I63" s="11" t="str">
        <f t="shared" si="5"/>
        <v>212:体育</v>
      </c>
      <c r="J63" s="11"/>
      <c r="K63" s="1" t="s">
        <v>15</v>
      </c>
      <c r="L63" s="15">
        <v>83.18</v>
      </c>
      <c r="M63" s="11">
        <v>11</v>
      </c>
      <c r="N63" s="20"/>
    </row>
    <row r="64" spans="1:14" s="10" customFormat="1" ht="33" customHeight="1">
      <c r="A64" s="11">
        <v>61</v>
      </c>
      <c r="B64" s="11" t="str">
        <f>"赵刚"</f>
        <v>赵刚</v>
      </c>
      <c r="C64" s="11" t="str">
        <f>"男        "</f>
        <v xml:space="preserve">男        </v>
      </c>
      <c r="D64" s="11" t="str">
        <f>"汉族"</f>
        <v>汉族</v>
      </c>
      <c r="E64" s="11" t="str">
        <f>"522323199305082330"</f>
        <v>522323199305082330</v>
      </c>
      <c r="F64" s="11" t="str">
        <f>"15186530028"</f>
        <v>15186530028</v>
      </c>
      <c r="G64" s="11" t="str">
        <f>"贵州省普安县地瓜镇孔家寨村下组"</f>
        <v>贵州省普安县地瓜镇孔家寨村下组</v>
      </c>
      <c r="H64" s="11" t="str">
        <f t="shared" si="3"/>
        <v>初中</v>
      </c>
      <c r="I64" s="11" t="str">
        <f t="shared" si="5"/>
        <v>212:体育</v>
      </c>
      <c r="J64" s="11"/>
      <c r="K64" s="1" t="s">
        <v>15</v>
      </c>
      <c r="L64" s="15">
        <v>82.78</v>
      </c>
      <c r="M64" s="11">
        <v>12</v>
      </c>
      <c r="N64" s="20"/>
    </row>
    <row r="65" spans="1:14" s="10" customFormat="1" ht="33" customHeight="1">
      <c r="A65" s="11">
        <v>62</v>
      </c>
      <c r="B65" s="11" t="str">
        <f>"邱宗友"</f>
        <v>邱宗友</v>
      </c>
      <c r="C65" s="11" t="str">
        <f>"男        "</f>
        <v xml:space="preserve">男        </v>
      </c>
      <c r="D65" s="11" t="str">
        <f>"彝族"</f>
        <v>彝族</v>
      </c>
      <c r="E65" s="11" t="str">
        <f>"522322199111151311"</f>
        <v>522322199111151311</v>
      </c>
      <c r="F65" s="11" t="str">
        <f>"18083489567"</f>
        <v>18083489567</v>
      </c>
      <c r="G65" s="11" t="str">
        <f>"贵州省兴仁县马马崖镇金钟村三组"</f>
        <v>贵州省兴仁县马马崖镇金钟村三组</v>
      </c>
      <c r="H65" s="11" t="str">
        <f t="shared" si="3"/>
        <v>初中</v>
      </c>
      <c r="I65" s="11" t="str">
        <f t="shared" si="5"/>
        <v>212:体育</v>
      </c>
      <c r="J65" s="11"/>
      <c r="K65" s="1" t="s">
        <v>15</v>
      </c>
      <c r="L65" s="15">
        <v>82.36</v>
      </c>
      <c r="M65" s="11">
        <v>13</v>
      </c>
      <c r="N65" s="20"/>
    </row>
    <row r="66" spans="1:14" s="10" customFormat="1" ht="33" customHeight="1">
      <c r="A66" s="11">
        <v>63</v>
      </c>
      <c r="B66" s="11" t="str">
        <f>"覃小弟"</f>
        <v>覃小弟</v>
      </c>
      <c r="C66" s="11" t="str">
        <f>"男        "</f>
        <v xml:space="preserve">男        </v>
      </c>
      <c r="D66" s="11" t="str">
        <f>"壮族"</f>
        <v>壮族</v>
      </c>
      <c r="E66" s="11" t="str">
        <f>"452631199212134558"</f>
        <v>452631199212134558</v>
      </c>
      <c r="F66" s="11" t="str">
        <f>"18877573140"</f>
        <v>18877573140</v>
      </c>
      <c r="G66" s="11" t="str">
        <f>"广西隆林各族自治县岩茶乡平班村那桃屯10号"</f>
        <v>广西隆林各族自治县岩茶乡平班村那桃屯10号</v>
      </c>
      <c r="H66" s="11" t="str">
        <f t="shared" si="3"/>
        <v>初中</v>
      </c>
      <c r="I66" s="11" t="str">
        <f t="shared" si="5"/>
        <v>212:体育</v>
      </c>
      <c r="J66" s="11"/>
      <c r="K66" s="1" t="s">
        <v>15</v>
      </c>
      <c r="L66" s="15">
        <v>81.84</v>
      </c>
      <c r="M66" s="11">
        <v>14</v>
      </c>
      <c r="N66" s="20"/>
    </row>
    <row r="67" spans="1:14" s="10" customFormat="1" ht="33" customHeight="1">
      <c r="A67" s="11">
        <v>64</v>
      </c>
      <c r="B67" s="11" t="str">
        <f>"蔡富萍"</f>
        <v>蔡富萍</v>
      </c>
      <c r="C67" s="11" t="str">
        <f>"女        "</f>
        <v xml:space="preserve">女        </v>
      </c>
      <c r="D67" s="11" t="str">
        <f>"汉族"</f>
        <v>汉族</v>
      </c>
      <c r="E67" s="11" t="str">
        <f>"452631199306072925"</f>
        <v>452631199306072925</v>
      </c>
      <c r="F67" s="11" t="str">
        <f>"18877572950"</f>
        <v>18877572950</v>
      </c>
      <c r="G67" s="11" t="str">
        <f>"广西百色市龙林各族自治县金钟山乡平流村尾号屯"</f>
        <v>广西百色市龙林各族自治县金钟山乡平流村尾号屯</v>
      </c>
      <c r="H67" s="11" t="str">
        <f t="shared" si="3"/>
        <v>初中</v>
      </c>
      <c r="I67" s="11" t="str">
        <f t="shared" si="5"/>
        <v>212:体育</v>
      </c>
      <c r="J67" s="11"/>
      <c r="K67" s="1" t="s">
        <v>15</v>
      </c>
      <c r="L67" s="15">
        <v>81.8</v>
      </c>
      <c r="M67" s="11">
        <v>15</v>
      </c>
      <c r="N67" s="20"/>
    </row>
    <row r="68" spans="1:14" s="10" customFormat="1" ht="33" customHeight="1">
      <c r="A68" s="11">
        <v>65</v>
      </c>
      <c r="B68" s="11" t="str">
        <f>"林叶灿"</f>
        <v>林叶灿</v>
      </c>
      <c r="C68" s="11" t="str">
        <f>"女        "</f>
        <v xml:space="preserve">女        </v>
      </c>
      <c r="D68" s="11" t="str">
        <f>"汉族"</f>
        <v>汉族</v>
      </c>
      <c r="E68" s="11" t="str">
        <f>"522328199202060042"</f>
        <v>522328199202060042</v>
      </c>
      <c r="F68" s="11" t="str">
        <f>"15186530095"</f>
        <v>15186530095</v>
      </c>
      <c r="G68" s="11" t="str">
        <f>"贵州省安龙县新安镇箐山村白坟组30号"</f>
        <v>贵州省安龙县新安镇箐山村白坟组30号</v>
      </c>
      <c r="H68" s="11" t="str">
        <f t="shared" ref="H68:H77" si="7">"初中"</f>
        <v>初中</v>
      </c>
      <c r="I68" s="11" t="str">
        <f t="shared" si="5"/>
        <v>212:体育</v>
      </c>
      <c r="J68" s="11"/>
      <c r="K68" s="1" t="s">
        <v>15</v>
      </c>
      <c r="L68" s="15">
        <v>81.540000000000006</v>
      </c>
      <c r="M68" s="11">
        <v>16</v>
      </c>
      <c r="N68" s="20"/>
    </row>
    <row r="69" spans="1:14" s="10" customFormat="1" ht="33" customHeight="1">
      <c r="A69" s="11">
        <v>66</v>
      </c>
      <c r="B69" s="11" t="str">
        <f>"胡开兴"</f>
        <v>胡开兴</v>
      </c>
      <c r="C69" s="11" t="str">
        <f>"男        "</f>
        <v xml:space="preserve">男        </v>
      </c>
      <c r="D69" s="11" t="str">
        <f>"汉族"</f>
        <v>汉族</v>
      </c>
      <c r="E69" s="11" t="str">
        <f>"532123199305240010"</f>
        <v>532123199305240010</v>
      </c>
      <c r="F69" s="11" t="str">
        <f>"15987027503"</f>
        <v>15987027503</v>
      </c>
      <c r="G69" s="11" t="str">
        <f>"云南省昭通市巧家县白鹤滩镇黎明村"</f>
        <v>云南省昭通市巧家县白鹤滩镇黎明村</v>
      </c>
      <c r="H69" s="11" t="str">
        <f t="shared" si="7"/>
        <v>初中</v>
      </c>
      <c r="I69" s="11" t="str">
        <f t="shared" si="5"/>
        <v>212:体育</v>
      </c>
      <c r="J69" s="11"/>
      <c r="K69" s="1" t="s">
        <v>15</v>
      </c>
      <c r="L69" s="15">
        <v>81.540000000000006</v>
      </c>
      <c r="M69" s="11">
        <v>17</v>
      </c>
      <c r="N69" s="20"/>
    </row>
    <row r="70" spans="1:14" s="10" customFormat="1" ht="33" customHeight="1">
      <c r="A70" s="11">
        <v>67</v>
      </c>
      <c r="B70" s="11" t="str">
        <f>"李菲"</f>
        <v>李菲</v>
      </c>
      <c r="C70" s="11" t="str">
        <f>"女        "</f>
        <v xml:space="preserve">女        </v>
      </c>
      <c r="D70" s="11" t="str">
        <f>"壮族"</f>
        <v>壮族</v>
      </c>
      <c r="E70" s="11" t="str">
        <f>"450331199410132125"</f>
        <v>450331199410132125</v>
      </c>
      <c r="F70" s="11" t="str">
        <f>"13635137470"</f>
        <v>13635137470</v>
      </c>
      <c r="G70" s="11" t="str">
        <f>"广西省桂林市荔浦县茶城乡坪社村落洞屯"</f>
        <v>广西省桂林市荔浦县茶城乡坪社村落洞屯</v>
      </c>
      <c r="H70" s="11" t="str">
        <f t="shared" si="7"/>
        <v>初中</v>
      </c>
      <c r="I70" s="11" t="str">
        <f t="shared" si="5"/>
        <v>212:体育</v>
      </c>
      <c r="J70" s="11"/>
      <c r="K70" s="1" t="s">
        <v>15</v>
      </c>
      <c r="L70" s="15">
        <v>80.52</v>
      </c>
      <c r="M70" s="11">
        <v>18</v>
      </c>
      <c r="N70" s="20"/>
    </row>
    <row r="71" spans="1:14" s="10" customFormat="1" ht="33" customHeight="1">
      <c r="A71" s="11">
        <v>68</v>
      </c>
      <c r="B71" s="11" t="str">
        <f>"陆建黄"</f>
        <v>陆建黄</v>
      </c>
      <c r="C71" s="11" t="str">
        <f t="shared" ref="C71:C77" si="8">"男        "</f>
        <v xml:space="preserve">男        </v>
      </c>
      <c r="D71" s="11" t="str">
        <f>"壮族"</f>
        <v>壮族</v>
      </c>
      <c r="E71" s="11" t="str">
        <f>"532627199305153331"</f>
        <v>532627199305153331</v>
      </c>
      <c r="F71" s="11" t="str">
        <f>"18487318630"</f>
        <v>18487318630</v>
      </c>
      <c r="G71" s="11" t="str">
        <f>"云南省文山州广南县这兔乡斗月村麻栗树小组"</f>
        <v>云南省文山州广南县这兔乡斗月村麻栗树小组</v>
      </c>
      <c r="H71" s="11" t="str">
        <f t="shared" si="7"/>
        <v>初中</v>
      </c>
      <c r="I71" s="11" t="str">
        <f t="shared" si="5"/>
        <v>212:体育</v>
      </c>
      <c r="J71" s="11"/>
      <c r="K71" s="1" t="s">
        <v>15</v>
      </c>
      <c r="L71" s="15">
        <v>80.180000000000007</v>
      </c>
      <c r="M71" s="11">
        <v>19</v>
      </c>
      <c r="N71" s="20"/>
    </row>
    <row r="72" spans="1:14" s="10" customFormat="1" ht="33" customHeight="1">
      <c r="A72" s="11">
        <v>69</v>
      </c>
      <c r="B72" s="11" t="str">
        <f>"黄欢"</f>
        <v>黄欢</v>
      </c>
      <c r="C72" s="11" t="str">
        <f t="shared" si="8"/>
        <v xml:space="preserve">男        </v>
      </c>
      <c r="D72" s="11" t="str">
        <f>"汉族"</f>
        <v>汉族</v>
      </c>
      <c r="E72" s="11" t="str">
        <f>"520202199401288014"</f>
        <v>520202199401288014</v>
      </c>
      <c r="F72" s="11" t="str">
        <f>"18768680242"</f>
        <v>18768680242</v>
      </c>
      <c r="G72" s="11" t="str">
        <f>"贵州省盘县新民乡祭山树村一组"</f>
        <v>贵州省盘县新民乡祭山树村一组</v>
      </c>
      <c r="H72" s="11" t="str">
        <f t="shared" si="7"/>
        <v>初中</v>
      </c>
      <c r="I72" s="11" t="str">
        <f t="shared" si="5"/>
        <v>212:体育</v>
      </c>
      <c r="J72" s="11"/>
      <c r="K72" s="1" t="s">
        <v>15</v>
      </c>
      <c r="L72" s="15">
        <v>80.08</v>
      </c>
      <c r="M72" s="11">
        <v>20</v>
      </c>
      <c r="N72" s="20"/>
    </row>
    <row r="73" spans="1:14" s="10" customFormat="1" ht="33" customHeight="1">
      <c r="A73" s="11">
        <v>70</v>
      </c>
      <c r="B73" s="11" t="str">
        <f>"王向阳"</f>
        <v>王向阳</v>
      </c>
      <c r="C73" s="11" t="str">
        <f t="shared" si="8"/>
        <v xml:space="preserve">男        </v>
      </c>
      <c r="D73" s="11" t="str">
        <f>"汉族"</f>
        <v>汉族</v>
      </c>
      <c r="E73" s="11" t="str">
        <f>"522325199212130033"</f>
        <v>522325199212130033</v>
      </c>
      <c r="F73" s="11" t="str">
        <f>"15186500741"</f>
        <v>15186500741</v>
      </c>
      <c r="G73" s="11" t="str">
        <f>"贵州省真丰县盘龙村大坪组"</f>
        <v>贵州省真丰县盘龙村大坪组</v>
      </c>
      <c r="H73" s="11" t="str">
        <f t="shared" si="7"/>
        <v>初中</v>
      </c>
      <c r="I73" s="11" t="str">
        <f t="shared" si="5"/>
        <v>212:体育</v>
      </c>
      <c r="J73" s="11"/>
      <c r="K73" s="1" t="s">
        <v>15</v>
      </c>
      <c r="L73" s="15">
        <v>79.78</v>
      </c>
      <c r="M73" s="11">
        <v>21</v>
      </c>
      <c r="N73" s="20"/>
    </row>
    <row r="74" spans="1:14" s="10" customFormat="1" ht="33" customHeight="1">
      <c r="A74" s="11">
        <v>71</v>
      </c>
      <c r="B74" s="11" t="str">
        <f>"杨威"</f>
        <v>杨威</v>
      </c>
      <c r="C74" s="11" t="str">
        <f t="shared" si="8"/>
        <v xml:space="preserve">男        </v>
      </c>
      <c r="D74" s="11" t="str">
        <f>"苗族"</f>
        <v>苗族</v>
      </c>
      <c r="E74" s="11" t="str">
        <f>"52232619930319141X"</f>
        <v>52232619930319141X</v>
      </c>
      <c r="F74" s="11" t="str">
        <f>"15086598926"</f>
        <v>15086598926</v>
      </c>
      <c r="G74" s="11" t="str">
        <f>"贵州省望谟县石屯镇石屯中学教师宿舍"</f>
        <v>贵州省望谟县石屯镇石屯中学教师宿舍</v>
      </c>
      <c r="H74" s="11" t="str">
        <f t="shared" si="7"/>
        <v>初中</v>
      </c>
      <c r="I74" s="11" t="str">
        <f t="shared" si="5"/>
        <v>212:体育</v>
      </c>
      <c r="J74" s="11"/>
      <c r="K74" s="1" t="s">
        <v>15</v>
      </c>
      <c r="L74" s="15">
        <v>79.62</v>
      </c>
      <c r="M74" s="11">
        <v>22</v>
      </c>
      <c r="N74" s="20"/>
    </row>
    <row r="75" spans="1:14" s="10" customFormat="1" ht="33" customHeight="1">
      <c r="A75" s="11">
        <v>72</v>
      </c>
      <c r="B75" s="11" t="str">
        <f>"何农康"</f>
        <v>何农康</v>
      </c>
      <c r="C75" s="11" t="str">
        <f t="shared" si="8"/>
        <v xml:space="preserve">男        </v>
      </c>
      <c r="D75" s="11" t="str">
        <f>"壮族"</f>
        <v>壮族</v>
      </c>
      <c r="E75" s="11" t="str">
        <f>"532627199509203951"</f>
        <v>532627199509203951</v>
      </c>
      <c r="F75" s="11" t="str">
        <f>"14736800498"</f>
        <v>14736800498</v>
      </c>
      <c r="G75" s="11" t="str">
        <f>"云南省文山州广南县坝美镇者烈村委会弄同小组"</f>
        <v>云南省文山州广南县坝美镇者烈村委会弄同小组</v>
      </c>
      <c r="H75" s="11" t="str">
        <f t="shared" si="7"/>
        <v>初中</v>
      </c>
      <c r="I75" s="11" t="str">
        <f t="shared" si="5"/>
        <v>212:体育</v>
      </c>
      <c r="J75" s="11"/>
      <c r="K75" s="1" t="s">
        <v>15</v>
      </c>
      <c r="L75" s="15">
        <v>79.239999999999995</v>
      </c>
      <c r="M75" s="11">
        <v>23</v>
      </c>
      <c r="N75" s="20"/>
    </row>
    <row r="76" spans="1:14" s="10" customFormat="1" ht="33" customHeight="1">
      <c r="A76" s="11">
        <v>73</v>
      </c>
      <c r="B76" s="11" t="str">
        <f>"杨兴汝"</f>
        <v>杨兴汝</v>
      </c>
      <c r="C76" s="11" t="str">
        <f t="shared" si="8"/>
        <v xml:space="preserve">男        </v>
      </c>
      <c r="D76" s="11" t="str">
        <f>"苗族"</f>
        <v>苗族</v>
      </c>
      <c r="E76" s="11" t="str">
        <f>"522328199308152834"</f>
        <v>522328199308152834</v>
      </c>
      <c r="F76" s="11" t="str">
        <f>"15117319599"</f>
        <v>15117319599</v>
      </c>
      <c r="G76" s="11" t="str">
        <f>"贵州省安龙县洒雨镇海星村科基组"</f>
        <v>贵州省安龙县洒雨镇海星村科基组</v>
      </c>
      <c r="H76" s="11" t="str">
        <f t="shared" si="7"/>
        <v>初中</v>
      </c>
      <c r="I76" s="11" t="str">
        <f t="shared" si="5"/>
        <v>212:体育</v>
      </c>
      <c r="J76" s="11"/>
      <c r="K76" s="1" t="s">
        <v>15</v>
      </c>
      <c r="L76" s="15">
        <v>78.959999999999994</v>
      </c>
      <c r="M76" s="11">
        <v>24</v>
      </c>
      <c r="N76" s="20"/>
    </row>
    <row r="77" spans="1:14" s="10" customFormat="1" ht="33" customHeight="1">
      <c r="A77" s="11">
        <v>74</v>
      </c>
      <c r="B77" s="11" t="str">
        <f>"黄宁"</f>
        <v>黄宁</v>
      </c>
      <c r="C77" s="11" t="str">
        <f t="shared" si="8"/>
        <v xml:space="preserve">男        </v>
      </c>
      <c r="D77" s="11" t="str">
        <f>"壮族"</f>
        <v>壮族</v>
      </c>
      <c r="E77" s="11" t="str">
        <f>"452626199501113197"</f>
        <v>452626199501113197</v>
      </c>
      <c r="F77" s="11" t="str">
        <f>"17774865491"</f>
        <v>17774865491</v>
      </c>
      <c r="G77" s="11" t="str">
        <f>"广西百色市靖西市南坡乡底定村汤定屯"</f>
        <v>广西百色市靖西市南坡乡底定村汤定屯</v>
      </c>
      <c r="H77" s="11" t="str">
        <f t="shared" si="7"/>
        <v>初中</v>
      </c>
      <c r="I77" s="11" t="str">
        <f t="shared" si="5"/>
        <v>212:体育</v>
      </c>
      <c r="J77" s="11"/>
      <c r="K77" s="1" t="s">
        <v>15</v>
      </c>
      <c r="L77" s="15">
        <v>47.54</v>
      </c>
      <c r="M77" s="11">
        <v>25</v>
      </c>
      <c r="N77" s="20"/>
    </row>
    <row r="78" spans="1:14" s="10" customFormat="1" ht="33" customHeight="1">
      <c r="A78" s="11">
        <v>75</v>
      </c>
      <c r="B78" s="11" t="str">
        <f>"黄彩群"</f>
        <v>黄彩群</v>
      </c>
      <c r="C78" s="11" t="str">
        <f>"女        "</f>
        <v xml:space="preserve">女        </v>
      </c>
      <c r="D78" s="11" t="str">
        <f>"壮族"</f>
        <v>壮族</v>
      </c>
      <c r="E78" s="11" t="str">
        <f>"452631199409292621"</f>
        <v>452631199409292621</v>
      </c>
      <c r="F78" s="11" t="str">
        <f>"18278698272"</f>
        <v>18278698272</v>
      </c>
      <c r="G78" s="11" t="str">
        <f>"广西省百色市隆林县革步乡马用村马用社20号"</f>
        <v>广西省百色市隆林县革步乡马用村马用社20号</v>
      </c>
      <c r="H78" s="11" t="str">
        <f t="shared" ref="H78:H107" si="9">"小学"</f>
        <v>小学</v>
      </c>
      <c r="I78" s="11" t="str">
        <f t="shared" ref="I78:I107" si="10">"106:体育"</f>
        <v>106:体育</v>
      </c>
      <c r="J78" s="11"/>
      <c r="K78" s="1" t="s">
        <v>16</v>
      </c>
      <c r="L78" s="15">
        <v>87.66</v>
      </c>
      <c r="M78" s="27">
        <v>1</v>
      </c>
      <c r="N78" s="20" t="s">
        <v>46</v>
      </c>
    </row>
    <row r="79" spans="1:14" s="10" customFormat="1" ht="33" customHeight="1">
      <c r="A79" s="11">
        <v>76</v>
      </c>
      <c r="B79" s="11" t="str">
        <f>"李政锦"</f>
        <v>李政锦</v>
      </c>
      <c r="C79" s="11" t="str">
        <f>"男        "</f>
        <v xml:space="preserve">男        </v>
      </c>
      <c r="D79" s="11" t="str">
        <f>"苗族"</f>
        <v>苗族</v>
      </c>
      <c r="E79" s="11" t="str">
        <f>"452631199606163896"</f>
        <v>452631199606163896</v>
      </c>
      <c r="F79" s="11" t="str">
        <f>"15296213322"</f>
        <v>15296213322</v>
      </c>
      <c r="G79" s="11" t="str">
        <f>"广西省百色市隆林各族自治县民权社区民权街200号"</f>
        <v>广西省百色市隆林各族自治县民权社区民权街200号</v>
      </c>
      <c r="H79" s="11" t="str">
        <f t="shared" si="9"/>
        <v>小学</v>
      </c>
      <c r="I79" s="11" t="str">
        <f t="shared" si="10"/>
        <v>106:体育</v>
      </c>
      <c r="J79" s="11"/>
      <c r="K79" s="1" t="s">
        <v>16</v>
      </c>
      <c r="L79" s="15">
        <v>87.04</v>
      </c>
      <c r="M79" s="27">
        <v>2</v>
      </c>
      <c r="N79" s="20" t="s">
        <v>46</v>
      </c>
    </row>
    <row r="80" spans="1:14" s="10" customFormat="1" ht="33" customHeight="1">
      <c r="A80" s="11">
        <v>77</v>
      </c>
      <c r="B80" s="11" t="str">
        <f>"周国锐"</f>
        <v>周国锐</v>
      </c>
      <c r="C80" s="11" t="str">
        <f>"男        "</f>
        <v xml:space="preserve">男        </v>
      </c>
      <c r="D80" s="11" t="str">
        <f>"彝族"</f>
        <v>彝族</v>
      </c>
      <c r="E80" s="11" t="str">
        <f>"532622199509270570"</f>
        <v>532622199509270570</v>
      </c>
      <c r="F80" s="11" t="str">
        <f>"18487141317"</f>
        <v>18487141317</v>
      </c>
      <c r="G80" s="11" t="str">
        <f>"云南省文山壮族苗族自治州砚山县平远镇木瓜铺村委会阿"</f>
        <v>云南省文山壮族苗族自治州砚山县平远镇木瓜铺村委会阿</v>
      </c>
      <c r="H80" s="11" t="str">
        <f t="shared" si="9"/>
        <v>小学</v>
      </c>
      <c r="I80" s="11" t="str">
        <f t="shared" si="10"/>
        <v>106:体育</v>
      </c>
      <c r="J80" s="11"/>
      <c r="K80" s="1" t="s">
        <v>16</v>
      </c>
      <c r="L80" s="15">
        <v>85.1</v>
      </c>
      <c r="M80" s="27">
        <v>3</v>
      </c>
      <c r="N80" s="20" t="s">
        <v>46</v>
      </c>
    </row>
    <row r="81" spans="1:14" s="10" customFormat="1" ht="33" customHeight="1">
      <c r="A81" s="11">
        <v>78</v>
      </c>
      <c r="B81" s="11" t="str">
        <f>"袁永丽"</f>
        <v>袁永丽</v>
      </c>
      <c r="C81" s="11" t="str">
        <f>"女        "</f>
        <v xml:space="preserve">女        </v>
      </c>
      <c r="D81" s="11" t="str">
        <f>"汉族"</f>
        <v>汉族</v>
      </c>
      <c r="E81" s="11" t="str">
        <f>"522322199311231623"</f>
        <v>522322199311231623</v>
      </c>
      <c r="F81" s="11" t="str">
        <f>"18708552040"</f>
        <v>18708552040</v>
      </c>
      <c r="G81" s="11" t="str">
        <f>"贵州省兴仁县雨樟镇并嘎村"</f>
        <v>贵州省兴仁县雨樟镇并嘎村</v>
      </c>
      <c r="H81" s="11" t="str">
        <f t="shared" si="9"/>
        <v>小学</v>
      </c>
      <c r="I81" s="11" t="str">
        <f t="shared" si="10"/>
        <v>106:体育</v>
      </c>
      <c r="J81" s="11"/>
      <c r="K81" s="1" t="s">
        <v>16</v>
      </c>
      <c r="L81" s="15">
        <v>84.37</v>
      </c>
      <c r="M81" s="27">
        <v>4</v>
      </c>
      <c r="N81" s="20" t="s">
        <v>46</v>
      </c>
    </row>
    <row r="82" spans="1:14" s="10" customFormat="1" ht="33" customHeight="1">
      <c r="A82" s="11">
        <v>79</v>
      </c>
      <c r="B82" s="11" t="str">
        <f>"李金弟"</f>
        <v>李金弟</v>
      </c>
      <c r="C82" s="11" t="str">
        <f>"女        "</f>
        <v xml:space="preserve">女        </v>
      </c>
      <c r="D82" s="11" t="str">
        <f>"汉族"</f>
        <v>汉族</v>
      </c>
      <c r="E82" s="11" t="str">
        <f>"522328199307050246"</f>
        <v>522328199307050246</v>
      </c>
      <c r="F82" s="11" t="str">
        <f>"15761646460"</f>
        <v>15761646460</v>
      </c>
      <c r="G82" s="11" t="str">
        <f>"贵州省安龙县新安镇阿皂村"</f>
        <v>贵州省安龙县新安镇阿皂村</v>
      </c>
      <c r="H82" s="11" t="str">
        <f t="shared" si="9"/>
        <v>小学</v>
      </c>
      <c r="I82" s="11" t="str">
        <f t="shared" si="10"/>
        <v>106:体育</v>
      </c>
      <c r="J82" s="11"/>
      <c r="K82" s="1" t="s">
        <v>16</v>
      </c>
      <c r="L82" s="15">
        <v>83.62</v>
      </c>
      <c r="M82" s="27">
        <v>5</v>
      </c>
      <c r="N82" s="20" t="s">
        <v>46</v>
      </c>
    </row>
    <row r="83" spans="1:14" s="10" customFormat="1" ht="33" customHeight="1">
      <c r="A83" s="11">
        <v>80</v>
      </c>
      <c r="B83" s="11" t="str">
        <f>"常宁"</f>
        <v>常宁</v>
      </c>
      <c r="C83" s="11" t="str">
        <f>"男        "</f>
        <v xml:space="preserve">男        </v>
      </c>
      <c r="D83" s="11" t="str">
        <f>"壮族"</f>
        <v>壮族</v>
      </c>
      <c r="E83" s="11" t="str">
        <f>"452631199704061834"</f>
        <v>452631199704061834</v>
      </c>
      <c r="F83" s="11" t="str">
        <f>"18978638231"</f>
        <v>18978638231</v>
      </c>
      <c r="G83" s="11" t="str">
        <f>"广西壮族自治区百色市隆林各族自治县者保乡同福村那吉"</f>
        <v>广西壮族自治区百色市隆林各族自治县者保乡同福村那吉</v>
      </c>
      <c r="H83" s="11" t="str">
        <f t="shared" si="9"/>
        <v>小学</v>
      </c>
      <c r="I83" s="11" t="str">
        <f t="shared" si="10"/>
        <v>106:体育</v>
      </c>
      <c r="J83" s="11"/>
      <c r="K83" s="1" t="s">
        <v>16</v>
      </c>
      <c r="L83" s="15">
        <v>82.88</v>
      </c>
      <c r="M83" s="11">
        <v>6</v>
      </c>
      <c r="N83" s="20"/>
    </row>
    <row r="84" spans="1:14" s="10" customFormat="1" ht="33" customHeight="1">
      <c r="A84" s="11">
        <v>81</v>
      </c>
      <c r="B84" s="11" t="str">
        <f>"冉孟君"</f>
        <v>冉孟君</v>
      </c>
      <c r="C84" s="11" t="str">
        <f>"男        "</f>
        <v xml:space="preserve">男        </v>
      </c>
      <c r="D84" s="11" t="str">
        <f>"布依族"</f>
        <v>布依族</v>
      </c>
      <c r="E84" s="11" t="str">
        <f>"522326199309041615"</f>
        <v>522326199309041615</v>
      </c>
      <c r="F84" s="11" t="str">
        <f>"18788740127"</f>
        <v>18788740127</v>
      </c>
      <c r="G84" s="11" t="str">
        <f>"贵州省望谟县新屯街道办柯杉村田坝组"</f>
        <v>贵州省望谟县新屯街道办柯杉村田坝组</v>
      </c>
      <c r="H84" s="11" t="str">
        <f t="shared" si="9"/>
        <v>小学</v>
      </c>
      <c r="I84" s="11" t="str">
        <f t="shared" si="10"/>
        <v>106:体育</v>
      </c>
      <c r="J84" s="11"/>
      <c r="K84" s="1" t="s">
        <v>16</v>
      </c>
      <c r="L84" s="15">
        <v>82.63</v>
      </c>
      <c r="M84" s="11">
        <v>7</v>
      </c>
      <c r="N84" s="20"/>
    </row>
    <row r="85" spans="1:14" s="10" customFormat="1" ht="33" customHeight="1">
      <c r="A85" s="11">
        <v>82</v>
      </c>
      <c r="B85" s="11" t="str">
        <f>"王亚亭"</f>
        <v>王亚亭</v>
      </c>
      <c r="C85" s="11" t="str">
        <f>"女        "</f>
        <v xml:space="preserve">女        </v>
      </c>
      <c r="D85" s="11" t="str">
        <f>"汉族"</f>
        <v>汉族</v>
      </c>
      <c r="E85" s="11" t="str">
        <f>"522328199208185727"</f>
        <v>522328199208185727</v>
      </c>
      <c r="F85" s="11" t="str">
        <f>"18985096147"</f>
        <v>18985096147</v>
      </c>
      <c r="G85" s="11" t="str">
        <f>"贵州省安龙县新桥镇新桥村三份田组42号"</f>
        <v>贵州省安龙县新桥镇新桥村三份田组42号</v>
      </c>
      <c r="H85" s="11" t="str">
        <f t="shared" si="9"/>
        <v>小学</v>
      </c>
      <c r="I85" s="11" t="str">
        <f t="shared" si="10"/>
        <v>106:体育</v>
      </c>
      <c r="J85" s="11"/>
      <c r="K85" s="1" t="s">
        <v>16</v>
      </c>
      <c r="L85" s="15">
        <v>82.3</v>
      </c>
      <c r="M85" s="11">
        <v>8</v>
      </c>
      <c r="N85" s="20"/>
    </row>
    <row r="86" spans="1:14" s="10" customFormat="1" ht="33" customHeight="1">
      <c r="A86" s="11">
        <v>83</v>
      </c>
      <c r="B86" s="11" t="str">
        <f>"王亚乾"</f>
        <v>王亚乾</v>
      </c>
      <c r="C86" s="11" t="str">
        <f>"男        "</f>
        <v xml:space="preserve">男        </v>
      </c>
      <c r="D86" s="11" t="str">
        <f>"苗族"</f>
        <v>苗族</v>
      </c>
      <c r="E86" s="11" t="str">
        <f>"522124199412045637"</f>
        <v>522124199412045637</v>
      </c>
      <c r="F86" s="11" t="str">
        <f>"18798683108"</f>
        <v>18798683108</v>
      </c>
      <c r="G86" s="11" t="str">
        <f>"贵州省遵义市正安县市坪乡粗石村麻子坎组"</f>
        <v>贵州省遵义市正安县市坪乡粗石村麻子坎组</v>
      </c>
      <c r="H86" s="11" t="str">
        <f t="shared" si="9"/>
        <v>小学</v>
      </c>
      <c r="I86" s="11" t="str">
        <f t="shared" si="10"/>
        <v>106:体育</v>
      </c>
      <c r="J86" s="11"/>
      <c r="K86" s="1" t="s">
        <v>16</v>
      </c>
      <c r="L86" s="15">
        <v>81.78</v>
      </c>
      <c r="M86" s="11">
        <v>9</v>
      </c>
      <c r="N86" s="20"/>
    </row>
    <row r="87" spans="1:14" s="10" customFormat="1" ht="33" customHeight="1">
      <c r="A87" s="11">
        <v>84</v>
      </c>
      <c r="B87" s="11" t="str">
        <f>"朱唐荣"</f>
        <v>朱唐荣</v>
      </c>
      <c r="C87" s="11" t="str">
        <f>"男        "</f>
        <v xml:space="preserve">男        </v>
      </c>
      <c r="D87" s="11" t="str">
        <f>"汉族"</f>
        <v>汉族</v>
      </c>
      <c r="E87" s="11" t="str">
        <f>"530324199312110359"</f>
        <v>530324199312110359</v>
      </c>
      <c r="F87" s="11" t="str">
        <f>"18849807214"</f>
        <v>18849807214</v>
      </c>
      <c r="G87" s="11" t="str">
        <f>"云南省曲靖市罗平县腊山街道青草塘居委会青草塘村222号"</f>
        <v>云南省曲靖市罗平县腊山街道青草塘居委会青草塘村222号</v>
      </c>
      <c r="H87" s="11" t="str">
        <f t="shared" si="9"/>
        <v>小学</v>
      </c>
      <c r="I87" s="11" t="str">
        <f t="shared" si="10"/>
        <v>106:体育</v>
      </c>
      <c r="J87" s="11"/>
      <c r="K87" s="1" t="s">
        <v>16</v>
      </c>
      <c r="L87" s="15">
        <v>81.61</v>
      </c>
      <c r="M87" s="11">
        <v>10</v>
      </c>
      <c r="N87" s="20"/>
    </row>
    <row r="88" spans="1:14" s="10" customFormat="1" ht="33" customHeight="1">
      <c r="A88" s="11">
        <v>85</v>
      </c>
      <c r="B88" s="11" t="str">
        <f>"罗龙坤"</f>
        <v>罗龙坤</v>
      </c>
      <c r="C88" s="11" t="str">
        <f>"男        "</f>
        <v xml:space="preserve">男        </v>
      </c>
      <c r="D88" s="11" t="str">
        <f>"布依族"</f>
        <v>布依族</v>
      </c>
      <c r="E88" s="11" t="str">
        <f>"522327199209110819"</f>
        <v>522327199209110819</v>
      </c>
      <c r="F88" s="11" t="str">
        <f>"13985976298"</f>
        <v>13985976298</v>
      </c>
      <c r="G88" s="11" t="str">
        <f>"贵州省册亨县冗渡镇冗渡村冗坪下组17号"</f>
        <v>贵州省册亨县冗渡镇冗渡村冗坪下组17号</v>
      </c>
      <c r="H88" s="11" t="str">
        <f t="shared" si="9"/>
        <v>小学</v>
      </c>
      <c r="I88" s="11" t="str">
        <f t="shared" si="10"/>
        <v>106:体育</v>
      </c>
      <c r="J88" s="11"/>
      <c r="K88" s="1" t="s">
        <v>16</v>
      </c>
      <c r="L88" s="15">
        <v>80.87</v>
      </c>
      <c r="M88" s="11">
        <v>11</v>
      </c>
      <c r="N88" s="20"/>
    </row>
    <row r="89" spans="1:14" s="10" customFormat="1" ht="33" customHeight="1">
      <c r="A89" s="11">
        <v>86</v>
      </c>
      <c r="B89" s="11" t="str">
        <f>"潘兴章"</f>
        <v>潘兴章</v>
      </c>
      <c r="C89" s="11" t="str">
        <f>"男        "</f>
        <v xml:space="preserve">男        </v>
      </c>
      <c r="D89" s="11" t="str">
        <f>"汉族"</f>
        <v>汉族</v>
      </c>
      <c r="E89" s="11" t="str">
        <f>"522326199403080610"</f>
        <v>522326199403080610</v>
      </c>
      <c r="F89" s="11" t="str">
        <f>"15186400642"</f>
        <v>15186400642</v>
      </c>
      <c r="G89" s="11" t="str">
        <f>"贵州省望谟县打易镇打包村打包组"</f>
        <v>贵州省望谟县打易镇打包村打包组</v>
      </c>
      <c r="H89" s="11" t="str">
        <f t="shared" si="9"/>
        <v>小学</v>
      </c>
      <c r="I89" s="11" t="str">
        <f t="shared" si="10"/>
        <v>106:体育</v>
      </c>
      <c r="J89" s="11"/>
      <c r="K89" s="1" t="s">
        <v>16</v>
      </c>
      <c r="L89" s="15">
        <v>80.459999999999994</v>
      </c>
      <c r="M89" s="11">
        <v>12</v>
      </c>
      <c r="N89" s="20"/>
    </row>
    <row r="90" spans="1:14" s="10" customFormat="1" ht="33" customHeight="1">
      <c r="A90" s="11">
        <v>87</v>
      </c>
      <c r="B90" s="11" t="str">
        <f>"盘兴华"</f>
        <v>盘兴华</v>
      </c>
      <c r="C90" s="11" t="str">
        <f>"男        "</f>
        <v xml:space="preserve">男        </v>
      </c>
      <c r="D90" s="11" t="str">
        <f>"瑶族"</f>
        <v>瑶族</v>
      </c>
      <c r="E90" s="11" t="str">
        <f>"532624199501151510"</f>
        <v>532624199501151510</v>
      </c>
      <c r="F90" s="11" t="str">
        <f>"18314551425"</f>
        <v>18314551425</v>
      </c>
      <c r="G90" s="11" t="str">
        <f>"云南省文山壮族苗族自治州麻栗坡县六河乡六河村41号"</f>
        <v>云南省文山壮族苗族自治州麻栗坡县六河乡六河村41号</v>
      </c>
      <c r="H90" s="11" t="str">
        <f t="shared" si="9"/>
        <v>小学</v>
      </c>
      <c r="I90" s="11" t="str">
        <f t="shared" si="10"/>
        <v>106:体育</v>
      </c>
      <c r="J90" s="11"/>
      <c r="K90" s="1" t="s">
        <v>16</v>
      </c>
      <c r="L90" s="15">
        <v>80.349999999999994</v>
      </c>
      <c r="M90" s="11">
        <v>13</v>
      </c>
      <c r="N90" s="20"/>
    </row>
    <row r="91" spans="1:14" s="10" customFormat="1" ht="33" customHeight="1">
      <c r="A91" s="11">
        <v>88</v>
      </c>
      <c r="B91" s="11" t="str">
        <f>"卢加琴"</f>
        <v>卢加琴</v>
      </c>
      <c r="C91" s="11" t="str">
        <f>"女        "</f>
        <v xml:space="preserve">女        </v>
      </c>
      <c r="D91" s="11" t="str">
        <f>"汉族"</f>
        <v>汉族</v>
      </c>
      <c r="E91" s="11" t="str">
        <f>"522328199412042029"</f>
        <v>522328199412042029</v>
      </c>
      <c r="F91" s="11" t="str">
        <f>"18209813051"</f>
        <v>18209813051</v>
      </c>
      <c r="G91" s="11" t="str">
        <f>"贵州省安龙县兴隆镇久长村中心组"</f>
        <v>贵州省安龙县兴隆镇久长村中心组</v>
      </c>
      <c r="H91" s="11" t="str">
        <f t="shared" si="9"/>
        <v>小学</v>
      </c>
      <c r="I91" s="11" t="str">
        <f t="shared" si="10"/>
        <v>106:体育</v>
      </c>
      <c r="J91" s="11"/>
      <c r="K91" s="1" t="s">
        <v>16</v>
      </c>
      <c r="L91" s="15">
        <v>80.3</v>
      </c>
      <c r="M91" s="11">
        <v>14</v>
      </c>
      <c r="N91" s="20"/>
    </row>
    <row r="92" spans="1:14" s="10" customFormat="1" ht="33" customHeight="1">
      <c r="A92" s="11">
        <v>89</v>
      </c>
      <c r="B92" s="11" t="str">
        <f>"张显举"</f>
        <v>张显举</v>
      </c>
      <c r="C92" s="11" t="str">
        <f>"男        "</f>
        <v xml:space="preserve">男        </v>
      </c>
      <c r="D92" s="11" t="str">
        <f>"汉族"</f>
        <v>汉族</v>
      </c>
      <c r="E92" s="11" t="str">
        <f>"522322199103071813"</f>
        <v>522322199103071813</v>
      </c>
      <c r="F92" s="11" t="str">
        <f>"18722820092"</f>
        <v>18722820092</v>
      </c>
      <c r="G92" s="11" t="str">
        <f>"贵州省兴仁县鲁础营回族乡索土村索土祖"</f>
        <v>贵州省兴仁县鲁础营回族乡索土村索土祖</v>
      </c>
      <c r="H92" s="11" t="str">
        <f t="shared" si="9"/>
        <v>小学</v>
      </c>
      <c r="I92" s="11" t="str">
        <f t="shared" si="10"/>
        <v>106:体育</v>
      </c>
      <c r="J92" s="11"/>
      <c r="K92" s="1" t="s">
        <v>16</v>
      </c>
      <c r="L92" s="15">
        <v>80.17</v>
      </c>
      <c r="M92" s="11">
        <v>15</v>
      </c>
      <c r="N92" s="20"/>
    </row>
    <row r="93" spans="1:14" s="10" customFormat="1" ht="33" customHeight="1">
      <c r="A93" s="11">
        <v>90</v>
      </c>
      <c r="B93" s="11" t="str">
        <f>"赵潇斓"</f>
        <v>赵潇斓</v>
      </c>
      <c r="C93" s="11" t="str">
        <f>"女        "</f>
        <v xml:space="preserve">女        </v>
      </c>
      <c r="D93" s="11" t="str">
        <f>"苗族"</f>
        <v>苗族</v>
      </c>
      <c r="E93" s="11" t="str">
        <f>"452631199409063386"</f>
        <v>452631199409063386</v>
      </c>
      <c r="F93" s="11" t="str">
        <f>"13768638420"</f>
        <v>13768638420</v>
      </c>
      <c r="G93" s="11" t="str">
        <f>"广西壮族自治区隆林县德峨镇常么村桠口屯041号"</f>
        <v>广西壮族自治区隆林县德峨镇常么村桠口屯041号</v>
      </c>
      <c r="H93" s="11" t="str">
        <f t="shared" si="9"/>
        <v>小学</v>
      </c>
      <c r="I93" s="11" t="str">
        <f t="shared" si="10"/>
        <v>106:体育</v>
      </c>
      <c r="J93" s="11"/>
      <c r="K93" s="1" t="s">
        <v>16</v>
      </c>
      <c r="L93" s="15">
        <v>79.97</v>
      </c>
      <c r="M93" s="11">
        <v>16</v>
      </c>
      <c r="N93" s="20"/>
    </row>
    <row r="94" spans="1:14" s="10" customFormat="1" ht="33" customHeight="1">
      <c r="A94" s="11">
        <v>91</v>
      </c>
      <c r="B94" s="11" t="str">
        <f>"王芳蓓"</f>
        <v>王芳蓓</v>
      </c>
      <c r="C94" s="11" t="str">
        <f>"女        "</f>
        <v xml:space="preserve">女        </v>
      </c>
      <c r="D94" s="11" t="str">
        <f>"汉族"</f>
        <v>汉族</v>
      </c>
      <c r="E94" s="11" t="str">
        <f>"452631199512093882"</f>
        <v>452631199512093882</v>
      </c>
      <c r="F94" s="11" t="str">
        <f>"17677069591"</f>
        <v>17677069591</v>
      </c>
      <c r="G94" s="11" t="str">
        <f>"广西省百色市隆林县蛇场乡蛇场村"</f>
        <v>广西省百色市隆林县蛇场乡蛇场村</v>
      </c>
      <c r="H94" s="11" t="str">
        <f t="shared" si="9"/>
        <v>小学</v>
      </c>
      <c r="I94" s="11" t="str">
        <f t="shared" si="10"/>
        <v>106:体育</v>
      </c>
      <c r="J94" s="11"/>
      <c r="K94" s="1" t="s">
        <v>16</v>
      </c>
      <c r="L94" s="15">
        <v>79.569999999999993</v>
      </c>
      <c r="M94" s="11">
        <v>17</v>
      </c>
      <c r="N94" s="20"/>
    </row>
    <row r="95" spans="1:14" s="10" customFormat="1" ht="33" customHeight="1">
      <c r="A95" s="11">
        <v>92</v>
      </c>
      <c r="B95" s="11" t="str">
        <f>"焦志能"</f>
        <v>焦志能</v>
      </c>
      <c r="C95" s="11" t="str">
        <f>"男        "</f>
        <v xml:space="preserve">男        </v>
      </c>
      <c r="D95" s="11" t="str">
        <f>"汉族"</f>
        <v>汉族</v>
      </c>
      <c r="E95" s="11" t="str">
        <f>"532627199503053155"</f>
        <v>532627199503053155</v>
      </c>
      <c r="F95" s="11" t="str">
        <f>"18314584681"</f>
        <v>18314584681</v>
      </c>
      <c r="G95" s="11" t="str">
        <f>"云南省文山壮族苗族自治州广南县珠琳镇松树坡村21号"</f>
        <v>云南省文山壮族苗族自治州广南县珠琳镇松树坡村21号</v>
      </c>
      <c r="H95" s="11" t="str">
        <f t="shared" si="9"/>
        <v>小学</v>
      </c>
      <c r="I95" s="11" t="str">
        <f t="shared" si="10"/>
        <v>106:体育</v>
      </c>
      <c r="J95" s="11"/>
      <c r="K95" s="1" t="s">
        <v>16</v>
      </c>
      <c r="L95" s="15">
        <v>79.08</v>
      </c>
      <c r="M95" s="11">
        <v>18</v>
      </c>
      <c r="N95" s="20"/>
    </row>
    <row r="96" spans="1:14" s="10" customFormat="1" ht="33" customHeight="1">
      <c r="A96" s="11">
        <v>93</v>
      </c>
      <c r="B96" s="11" t="str">
        <f>"李菊花"</f>
        <v>李菊花</v>
      </c>
      <c r="C96" s="11" t="str">
        <f>"女        "</f>
        <v xml:space="preserve">女        </v>
      </c>
      <c r="D96" s="11" t="str">
        <f>"壮族"</f>
        <v>壮族</v>
      </c>
      <c r="E96" s="11" t="str">
        <f>"452632199701241625"</f>
        <v>452632199701241625</v>
      </c>
      <c r="F96" s="11" t="str">
        <f>"18777653560"</f>
        <v>18777653560</v>
      </c>
      <c r="G96" s="11" t="str">
        <f>"广西西林县普合苗族乡普合村那合屯"</f>
        <v>广西西林县普合苗族乡普合村那合屯</v>
      </c>
      <c r="H96" s="11" t="str">
        <f t="shared" si="9"/>
        <v>小学</v>
      </c>
      <c r="I96" s="11" t="str">
        <f t="shared" si="10"/>
        <v>106:体育</v>
      </c>
      <c r="J96" s="11"/>
      <c r="K96" s="1" t="s">
        <v>16</v>
      </c>
      <c r="L96" s="15">
        <v>78.97</v>
      </c>
      <c r="M96" s="11">
        <v>19</v>
      </c>
      <c r="N96" s="20"/>
    </row>
    <row r="97" spans="1:14" s="10" customFormat="1" ht="33" customHeight="1">
      <c r="A97" s="11">
        <v>94</v>
      </c>
      <c r="B97" s="11" t="str">
        <f>"杨富"</f>
        <v>杨富</v>
      </c>
      <c r="C97" s="11" t="str">
        <f>"男        "</f>
        <v xml:space="preserve">男        </v>
      </c>
      <c r="D97" s="11" t="str">
        <f>"苗族"</f>
        <v>苗族</v>
      </c>
      <c r="E97" s="11" t="str">
        <f>"452631199312023417"</f>
        <v>452631199312023417</v>
      </c>
      <c r="F97" s="11" t="str">
        <f>"13132773417"</f>
        <v>13132773417</v>
      </c>
      <c r="G97" s="11" t="s">
        <v>24</v>
      </c>
      <c r="H97" s="11" t="str">
        <f t="shared" si="9"/>
        <v>小学</v>
      </c>
      <c r="I97" s="11" t="str">
        <f t="shared" si="10"/>
        <v>106:体育</v>
      </c>
      <c r="J97" s="11"/>
      <c r="K97" s="1" t="s">
        <v>16</v>
      </c>
      <c r="L97" s="15">
        <v>77.91</v>
      </c>
      <c r="M97" s="11">
        <v>20</v>
      </c>
      <c r="N97" s="20"/>
    </row>
    <row r="98" spans="1:14" s="10" customFormat="1" ht="33" customHeight="1">
      <c r="A98" s="11">
        <v>95</v>
      </c>
      <c r="B98" s="11" t="str">
        <f>"郑维秀"</f>
        <v>郑维秀</v>
      </c>
      <c r="C98" s="11" t="str">
        <f>"女        "</f>
        <v xml:space="preserve">女        </v>
      </c>
      <c r="D98" s="11" t="str">
        <f>"汉族"</f>
        <v>汉族</v>
      </c>
      <c r="E98" s="11" t="str">
        <f>"452631199703173885"</f>
        <v>452631199703173885</v>
      </c>
      <c r="F98" s="11" t="str">
        <f>"17807762685"</f>
        <v>17807762685</v>
      </c>
      <c r="G98" s="11" t="str">
        <f>"广西壮族自治区百色市隆林县蛇场乡马场村三角地"</f>
        <v>广西壮族自治区百色市隆林县蛇场乡马场村三角地</v>
      </c>
      <c r="H98" s="11" t="str">
        <f t="shared" si="9"/>
        <v>小学</v>
      </c>
      <c r="I98" s="11" t="str">
        <f t="shared" si="10"/>
        <v>106:体育</v>
      </c>
      <c r="J98" s="11"/>
      <c r="K98" s="1" t="s">
        <v>16</v>
      </c>
      <c r="L98" s="15">
        <v>77.78</v>
      </c>
      <c r="M98" s="11">
        <v>21</v>
      </c>
      <c r="N98" s="20"/>
    </row>
    <row r="99" spans="1:14" s="10" customFormat="1" ht="33" customHeight="1">
      <c r="A99" s="11">
        <v>96</v>
      </c>
      <c r="B99" s="11" t="str">
        <f>"陆耀书"</f>
        <v>陆耀书</v>
      </c>
      <c r="C99" s="11" t="str">
        <f t="shared" ref="C99:C105" si="11">"男        "</f>
        <v xml:space="preserve">男        </v>
      </c>
      <c r="D99" s="11" t="str">
        <f>"壮族"</f>
        <v>壮族</v>
      </c>
      <c r="E99" s="11" t="str">
        <f>"452631199809141777"</f>
        <v>452631199809141777</v>
      </c>
      <c r="F99" s="11" t="str">
        <f>"18177699169"</f>
        <v>18177699169</v>
      </c>
      <c r="G99" s="11" t="str">
        <f>"广西省百色市隆林各族自治县者保乡南光村"</f>
        <v>广西省百色市隆林各族自治县者保乡南光村</v>
      </c>
      <c r="H99" s="11" t="str">
        <f t="shared" si="9"/>
        <v>小学</v>
      </c>
      <c r="I99" s="11" t="str">
        <f t="shared" si="10"/>
        <v>106:体育</v>
      </c>
      <c r="J99" s="11"/>
      <c r="K99" s="1" t="s">
        <v>16</v>
      </c>
      <c r="L99" s="15">
        <v>77.45</v>
      </c>
      <c r="M99" s="11">
        <v>22</v>
      </c>
      <c r="N99" s="20"/>
    </row>
    <row r="100" spans="1:14" s="10" customFormat="1" ht="33" customHeight="1">
      <c r="A100" s="11">
        <v>97</v>
      </c>
      <c r="B100" s="11" t="str">
        <f>"潘占培"</f>
        <v>潘占培</v>
      </c>
      <c r="C100" s="11" t="str">
        <f t="shared" si="11"/>
        <v xml:space="preserve">男        </v>
      </c>
      <c r="D100" s="11" t="str">
        <f>"布依族"</f>
        <v>布依族</v>
      </c>
      <c r="E100" s="11" t="str">
        <f>"522328199308160279"</f>
        <v>522328199308160279</v>
      </c>
      <c r="F100" s="11" t="str">
        <f>"18296044520"</f>
        <v>18296044520</v>
      </c>
      <c r="G100" s="11" t="str">
        <f>"贵州省安龙县栖凤街道办事处幺塘村上坡彦组44号"</f>
        <v>贵州省安龙县栖凤街道办事处幺塘村上坡彦组44号</v>
      </c>
      <c r="H100" s="11" t="str">
        <f t="shared" si="9"/>
        <v>小学</v>
      </c>
      <c r="I100" s="11" t="str">
        <f t="shared" si="10"/>
        <v>106:体育</v>
      </c>
      <c r="J100" s="11"/>
      <c r="K100" s="1" t="s">
        <v>16</v>
      </c>
      <c r="L100" s="15">
        <v>76.63</v>
      </c>
      <c r="M100" s="11">
        <v>23</v>
      </c>
      <c r="N100" s="20"/>
    </row>
    <row r="101" spans="1:14" s="10" customFormat="1" ht="33" customHeight="1">
      <c r="A101" s="11">
        <v>98</v>
      </c>
      <c r="B101" s="11" t="str">
        <f>"黄玉刚"</f>
        <v>黄玉刚</v>
      </c>
      <c r="C101" s="11" t="str">
        <f t="shared" si="11"/>
        <v xml:space="preserve">男        </v>
      </c>
      <c r="D101" s="11" t="str">
        <f>"汉族"</f>
        <v>汉族</v>
      </c>
      <c r="E101" s="11" t="str">
        <f>"452631198811164818"</f>
        <v>452631198811164818</v>
      </c>
      <c r="F101" s="11" t="str">
        <f>"13481068195"</f>
        <v>13481068195</v>
      </c>
      <c r="G101" s="11" t="s">
        <v>23</v>
      </c>
      <c r="H101" s="11" t="str">
        <f t="shared" si="9"/>
        <v>小学</v>
      </c>
      <c r="I101" s="11" t="str">
        <f t="shared" si="10"/>
        <v>106:体育</v>
      </c>
      <c r="J101" s="11"/>
      <c r="K101" s="1" t="s">
        <v>16</v>
      </c>
      <c r="L101" s="15">
        <v>75.81</v>
      </c>
      <c r="M101" s="11">
        <v>24</v>
      </c>
      <c r="N101" s="20"/>
    </row>
    <row r="102" spans="1:14" s="10" customFormat="1" ht="33" customHeight="1">
      <c r="A102" s="11">
        <v>99</v>
      </c>
      <c r="B102" s="11" t="str">
        <f>"田维龙"</f>
        <v>田维龙</v>
      </c>
      <c r="C102" s="11" t="str">
        <f t="shared" si="11"/>
        <v xml:space="preserve">男        </v>
      </c>
      <c r="D102" s="11" t="str">
        <f>"壮族"</f>
        <v>壮族</v>
      </c>
      <c r="E102" s="11" t="str">
        <f>"452632199411101018"</f>
        <v>452632199411101018</v>
      </c>
      <c r="F102" s="11" t="str">
        <f>"18107762953"</f>
        <v>18107762953</v>
      </c>
      <c r="G102" s="11" t="str">
        <f>"广西西林县古障镇古镇村罗仕屯"</f>
        <v>广西西林县古障镇古镇村罗仕屯</v>
      </c>
      <c r="H102" s="11" t="str">
        <f t="shared" si="9"/>
        <v>小学</v>
      </c>
      <c r="I102" s="11" t="str">
        <f t="shared" si="10"/>
        <v>106:体育</v>
      </c>
      <c r="J102" s="11"/>
      <c r="K102" s="1" t="s">
        <v>16</v>
      </c>
      <c r="L102" s="15">
        <v>74.33</v>
      </c>
      <c r="M102" s="11">
        <v>25</v>
      </c>
      <c r="N102" s="20"/>
    </row>
    <row r="103" spans="1:14" s="10" customFormat="1" ht="33" customHeight="1">
      <c r="A103" s="11">
        <v>100</v>
      </c>
      <c r="B103" s="11" t="str">
        <f>"农开宏"</f>
        <v>农开宏</v>
      </c>
      <c r="C103" s="11" t="str">
        <f t="shared" si="11"/>
        <v xml:space="preserve">男        </v>
      </c>
      <c r="D103" s="11" t="str">
        <f>"壮族"</f>
        <v>壮族</v>
      </c>
      <c r="E103" s="11" t="str">
        <f>"532627199703273734"</f>
        <v>532627199703273734</v>
      </c>
      <c r="F103" s="11" t="str">
        <f>"13628762071"</f>
        <v>13628762071</v>
      </c>
      <c r="G103" s="11" t="str">
        <f>"云南省文山州广南县底圩乡那塘小组"</f>
        <v>云南省文山州广南县底圩乡那塘小组</v>
      </c>
      <c r="H103" s="11" t="str">
        <f t="shared" si="9"/>
        <v>小学</v>
      </c>
      <c r="I103" s="11" t="str">
        <f t="shared" si="10"/>
        <v>106:体育</v>
      </c>
      <c r="J103" s="11"/>
      <c r="K103" s="1" t="s">
        <v>16</v>
      </c>
      <c r="L103" s="15">
        <v>74.28</v>
      </c>
      <c r="M103" s="11">
        <v>26</v>
      </c>
      <c r="N103" s="20"/>
    </row>
    <row r="104" spans="1:14" s="10" customFormat="1" ht="33" customHeight="1">
      <c r="A104" s="11">
        <v>101</v>
      </c>
      <c r="B104" s="11" t="str">
        <f>"王飞"</f>
        <v>王飞</v>
      </c>
      <c r="C104" s="11" t="str">
        <f t="shared" si="11"/>
        <v xml:space="preserve">男        </v>
      </c>
      <c r="D104" s="11" t="str">
        <f>"汉族"</f>
        <v>汉族</v>
      </c>
      <c r="E104" s="11" t="str">
        <f>"452631199503190314"</f>
        <v>452631199503190314</v>
      </c>
      <c r="F104" s="11" t="str">
        <f>"13481608045"</f>
        <v>13481608045</v>
      </c>
      <c r="G104" s="11" t="str">
        <f>"广西百色市隆林各族自治县桠杈镇忠义村龙南屯016号"</f>
        <v>广西百色市隆林各族自治县桠杈镇忠义村龙南屯016号</v>
      </c>
      <c r="H104" s="11" t="str">
        <f t="shared" si="9"/>
        <v>小学</v>
      </c>
      <c r="I104" s="11" t="str">
        <f t="shared" si="10"/>
        <v>106:体育</v>
      </c>
      <c r="J104" s="11"/>
      <c r="K104" s="1" t="s">
        <v>16</v>
      </c>
      <c r="L104" s="15">
        <v>72.56</v>
      </c>
      <c r="M104" s="11">
        <v>27</v>
      </c>
      <c r="N104" s="20"/>
    </row>
    <row r="105" spans="1:14" s="10" customFormat="1" ht="33" customHeight="1">
      <c r="A105" s="11">
        <v>102</v>
      </c>
      <c r="B105" s="11" t="str">
        <f>"黎建宏"</f>
        <v>黎建宏</v>
      </c>
      <c r="C105" s="11" t="str">
        <f t="shared" si="11"/>
        <v xml:space="preserve">男        </v>
      </c>
      <c r="D105" s="11" t="str">
        <f>"壮族"</f>
        <v>壮族</v>
      </c>
      <c r="E105" s="11" t="str">
        <f>"452632199510301912"</f>
        <v>452632199510301912</v>
      </c>
      <c r="F105" s="11" t="str">
        <f>"18565325680"</f>
        <v>18565325680</v>
      </c>
      <c r="G105" s="11" t="str">
        <f>"广西百色市西林县八达镇新西路004号"</f>
        <v>广西百色市西林县八达镇新西路004号</v>
      </c>
      <c r="H105" s="11" t="str">
        <f t="shared" si="9"/>
        <v>小学</v>
      </c>
      <c r="I105" s="11" t="str">
        <f t="shared" si="10"/>
        <v>106:体育</v>
      </c>
      <c r="J105" s="11"/>
      <c r="K105" s="1" t="s">
        <v>16</v>
      </c>
      <c r="L105" s="15">
        <v>62.24</v>
      </c>
      <c r="M105" s="11">
        <v>28</v>
      </c>
      <c r="N105" s="20"/>
    </row>
    <row r="106" spans="1:14" s="10" customFormat="1" ht="33" customHeight="1">
      <c r="A106" s="11">
        <v>103</v>
      </c>
      <c r="B106" s="11" t="str">
        <f>"肖兴丽"</f>
        <v>肖兴丽</v>
      </c>
      <c r="C106" s="11" t="str">
        <f>"女        "</f>
        <v xml:space="preserve">女        </v>
      </c>
      <c r="D106" s="11" t="str">
        <f>"汉族"</f>
        <v>汉族</v>
      </c>
      <c r="E106" s="11" t="str">
        <f>"532623199409210323"</f>
        <v>532623199409210323</v>
      </c>
      <c r="F106" s="11" t="str">
        <f>"18287676772"</f>
        <v>18287676772</v>
      </c>
      <c r="G106" s="11" t="str">
        <f>"云南省文山壮族苗族自治州西畴县西洒镇瑞和街70号"</f>
        <v>云南省文山壮族苗族自治州西畴县西洒镇瑞和街70号</v>
      </c>
      <c r="H106" s="11" t="str">
        <f t="shared" si="9"/>
        <v>小学</v>
      </c>
      <c r="I106" s="11" t="str">
        <f t="shared" si="10"/>
        <v>106:体育</v>
      </c>
      <c r="J106" s="11"/>
      <c r="K106" s="1" t="s">
        <v>16</v>
      </c>
      <c r="L106" s="23" t="s">
        <v>45</v>
      </c>
      <c r="M106" s="11">
        <v>29</v>
      </c>
      <c r="N106" s="20"/>
    </row>
    <row r="107" spans="1:14" s="10" customFormat="1" ht="33" customHeight="1">
      <c r="A107" s="11">
        <v>104</v>
      </c>
      <c r="B107" s="11" t="str">
        <f>"蓝程宝"</f>
        <v>蓝程宝</v>
      </c>
      <c r="C107" s="11" t="str">
        <f>"男        "</f>
        <v xml:space="preserve">男        </v>
      </c>
      <c r="D107" s="11" t="str">
        <f>"瑶族"</f>
        <v>瑶族</v>
      </c>
      <c r="E107" s="11" t="str">
        <f>"452632199609171054"</f>
        <v>452632199609171054</v>
      </c>
      <c r="F107" s="11" t="str">
        <f>"19977689476"</f>
        <v>19977689476</v>
      </c>
      <c r="G107" s="11" t="str">
        <f>"广西百色市西林县古障镇央革村高良屯"</f>
        <v>广西百色市西林县古障镇央革村高良屯</v>
      </c>
      <c r="H107" s="11" t="str">
        <f t="shared" si="9"/>
        <v>小学</v>
      </c>
      <c r="I107" s="11" t="str">
        <f t="shared" si="10"/>
        <v>106:体育</v>
      </c>
      <c r="J107" s="11"/>
      <c r="K107" s="1" t="s">
        <v>16</v>
      </c>
      <c r="L107" s="23" t="s">
        <v>45</v>
      </c>
      <c r="M107" s="11">
        <v>30</v>
      </c>
      <c r="N107" s="20"/>
    </row>
    <row r="108" spans="1:14" s="10" customFormat="1" ht="33" customHeight="1">
      <c r="A108" s="11">
        <v>105</v>
      </c>
      <c r="B108" s="11" t="str">
        <f>"代娇"</f>
        <v>代娇</v>
      </c>
      <c r="C108" s="11" t="str">
        <f>"女        "</f>
        <v xml:space="preserve">女        </v>
      </c>
      <c r="D108" s="11" t="str">
        <f>"汉族"</f>
        <v>汉族</v>
      </c>
      <c r="E108" s="11" t="str">
        <f>"532225199708121524"</f>
        <v>532225199708121524</v>
      </c>
      <c r="F108" s="11" t="str">
        <f>"15911405560"</f>
        <v>15911405560</v>
      </c>
      <c r="G108" s="11" t="str">
        <f>"云南省曲靖市富源县黄泥河镇牛场村委会"</f>
        <v>云南省曲靖市富源县黄泥河镇牛场村委会</v>
      </c>
      <c r="H108" s="11" t="str">
        <f t="shared" ref="H108:H154" si="12">"初中"</f>
        <v>初中</v>
      </c>
      <c r="I108" s="11" t="str">
        <f t="shared" ref="I108:I126" si="13">"299:政治"</f>
        <v>299:政治</v>
      </c>
      <c r="J108" s="11"/>
      <c r="K108" s="1" t="s">
        <v>17</v>
      </c>
      <c r="L108" s="15">
        <v>87.74</v>
      </c>
      <c r="M108" s="27">
        <v>1</v>
      </c>
      <c r="N108" s="20" t="s">
        <v>46</v>
      </c>
    </row>
    <row r="109" spans="1:14" s="10" customFormat="1" ht="33" customHeight="1">
      <c r="A109" s="11">
        <v>106</v>
      </c>
      <c r="B109" s="11" t="str">
        <f>"孙波"</f>
        <v>孙波</v>
      </c>
      <c r="C109" s="11" t="str">
        <f>"男        "</f>
        <v xml:space="preserve">男        </v>
      </c>
      <c r="D109" s="11" t="str">
        <f>"汉族"</f>
        <v>汉族</v>
      </c>
      <c r="E109" s="11" t="str">
        <f>"522322199101292217"</f>
        <v>522322199101292217</v>
      </c>
      <c r="F109" s="11" t="str">
        <f>"18275452857"</f>
        <v>18275452857</v>
      </c>
      <c r="G109" s="11" t="str">
        <f>"贵州省兴仁县新龙场镇大坪村半角冲一组46号"</f>
        <v>贵州省兴仁县新龙场镇大坪村半角冲一组46号</v>
      </c>
      <c r="H109" s="11" t="str">
        <f t="shared" si="12"/>
        <v>初中</v>
      </c>
      <c r="I109" s="11" t="str">
        <f t="shared" si="13"/>
        <v>299:政治</v>
      </c>
      <c r="J109" s="11"/>
      <c r="K109" s="1" t="s">
        <v>17</v>
      </c>
      <c r="L109" s="15">
        <v>87</v>
      </c>
      <c r="M109" s="27">
        <v>2</v>
      </c>
      <c r="N109" s="20" t="s">
        <v>46</v>
      </c>
    </row>
    <row r="110" spans="1:14" s="10" customFormat="1" ht="33" customHeight="1">
      <c r="A110" s="11">
        <v>107</v>
      </c>
      <c r="B110" s="11" t="str">
        <f>"牛梦醒"</f>
        <v>牛梦醒</v>
      </c>
      <c r="C110" s="11" t="str">
        <f>"女        "</f>
        <v xml:space="preserve">女        </v>
      </c>
      <c r="D110" s="11" t="str">
        <f>"汉族"</f>
        <v>汉族</v>
      </c>
      <c r="E110" s="11" t="str">
        <f>"530324199511050328"</f>
        <v>530324199511050328</v>
      </c>
      <c r="F110" s="11" t="str">
        <f>"15770251839"</f>
        <v>15770251839</v>
      </c>
      <c r="G110" s="11" t="str">
        <f>"云南省曲靖市罗平县罗雄街道外纳村委会下阿列村"</f>
        <v>云南省曲靖市罗平县罗雄街道外纳村委会下阿列村</v>
      </c>
      <c r="H110" s="11" t="str">
        <f t="shared" si="12"/>
        <v>初中</v>
      </c>
      <c r="I110" s="11" t="str">
        <f t="shared" si="13"/>
        <v>299:政治</v>
      </c>
      <c r="J110" s="11"/>
      <c r="K110" s="1" t="s">
        <v>17</v>
      </c>
      <c r="L110" s="15">
        <v>84.88</v>
      </c>
      <c r="M110" s="27">
        <v>3</v>
      </c>
      <c r="N110" s="20" t="s">
        <v>46</v>
      </c>
    </row>
    <row r="111" spans="1:14" s="10" customFormat="1" ht="33" customHeight="1">
      <c r="A111" s="11">
        <v>108</v>
      </c>
      <c r="B111" s="11" t="str">
        <f>"林菊"</f>
        <v>林菊</v>
      </c>
      <c r="C111" s="11" t="str">
        <f>"女        "</f>
        <v xml:space="preserve">女        </v>
      </c>
      <c r="D111" s="11" t="str">
        <f>"汉族"</f>
        <v>汉族</v>
      </c>
      <c r="E111" s="11" t="str">
        <f>"522322199209201268"</f>
        <v>522322199209201268</v>
      </c>
      <c r="F111" s="11" t="str">
        <f>"13985304265"</f>
        <v>13985304265</v>
      </c>
      <c r="G111" s="11" t="str">
        <f>"贵州省兴仁县百德镇"</f>
        <v>贵州省兴仁县百德镇</v>
      </c>
      <c r="H111" s="11" t="str">
        <f t="shared" si="12"/>
        <v>初中</v>
      </c>
      <c r="I111" s="11" t="str">
        <f t="shared" si="13"/>
        <v>299:政治</v>
      </c>
      <c r="J111" s="11"/>
      <c r="K111" s="1" t="s">
        <v>17</v>
      </c>
      <c r="L111" s="15">
        <v>84.56</v>
      </c>
      <c r="M111" s="27">
        <v>4</v>
      </c>
      <c r="N111" s="20" t="s">
        <v>46</v>
      </c>
    </row>
    <row r="112" spans="1:14" s="10" customFormat="1" ht="33" customHeight="1">
      <c r="A112" s="11">
        <v>109</v>
      </c>
      <c r="B112" s="11" t="str">
        <f>"陆润"</f>
        <v>陆润</v>
      </c>
      <c r="C112" s="11" t="str">
        <f>"女        "</f>
        <v xml:space="preserve">女        </v>
      </c>
      <c r="D112" s="11" t="str">
        <f>"布依族"</f>
        <v>布依族</v>
      </c>
      <c r="E112" s="11" t="str">
        <f>"52022119891026236X"</f>
        <v>52022119891026236X</v>
      </c>
      <c r="F112" s="11" t="str">
        <f>"17785546269"</f>
        <v>17785546269</v>
      </c>
      <c r="G112" s="11" t="str">
        <f>"贵州省水城县发耳镇新光村发启组"</f>
        <v>贵州省水城县发耳镇新光村发启组</v>
      </c>
      <c r="H112" s="11" t="str">
        <f t="shared" si="12"/>
        <v>初中</v>
      </c>
      <c r="I112" s="11" t="str">
        <f t="shared" si="13"/>
        <v>299:政治</v>
      </c>
      <c r="J112" s="11"/>
      <c r="K112" s="1" t="s">
        <v>17</v>
      </c>
      <c r="L112" s="15">
        <v>83.94</v>
      </c>
      <c r="M112" s="27">
        <v>5</v>
      </c>
      <c r="N112" s="20" t="s">
        <v>46</v>
      </c>
    </row>
    <row r="113" spans="1:14" s="10" customFormat="1" ht="33" customHeight="1">
      <c r="A113" s="11">
        <v>110</v>
      </c>
      <c r="B113" s="11" t="str">
        <f>"查启市"</f>
        <v>查启市</v>
      </c>
      <c r="C113" s="11" t="str">
        <f>"女        "</f>
        <v xml:space="preserve">女        </v>
      </c>
      <c r="D113" s="11" t="str">
        <f>"布依族"</f>
        <v>布依族</v>
      </c>
      <c r="E113" s="11" t="str">
        <f>"52232819941002082X"</f>
        <v>52232819941002082X</v>
      </c>
      <c r="F113" s="11" t="str">
        <f>"13984349172"</f>
        <v>13984349172</v>
      </c>
      <c r="G113" s="8" t="s">
        <v>18</v>
      </c>
      <c r="H113" s="11" t="str">
        <f t="shared" si="12"/>
        <v>初中</v>
      </c>
      <c r="I113" s="11" t="str">
        <f t="shared" si="13"/>
        <v>299:政治</v>
      </c>
      <c r="J113" s="11"/>
      <c r="K113" s="1" t="s">
        <v>17</v>
      </c>
      <c r="L113" s="15">
        <v>83.7</v>
      </c>
      <c r="M113" s="11">
        <v>6</v>
      </c>
      <c r="N113" s="20"/>
    </row>
    <row r="114" spans="1:14" s="10" customFormat="1" ht="33" customHeight="1">
      <c r="A114" s="11">
        <v>111</v>
      </c>
      <c r="B114" s="11" t="str">
        <f>"梁玉飞"</f>
        <v>梁玉飞</v>
      </c>
      <c r="C114" s="11" t="str">
        <f>"男        "</f>
        <v xml:space="preserve">男        </v>
      </c>
      <c r="D114" s="11" t="str">
        <f>"汉族"</f>
        <v>汉族</v>
      </c>
      <c r="E114" s="11" t="str">
        <f>"522321199004206114"</f>
        <v>522321199004206114</v>
      </c>
      <c r="F114" s="11" t="str">
        <f>"18208665498"</f>
        <v>18208665498</v>
      </c>
      <c r="G114" s="11" t="str">
        <f>"贵州省兴义市捧乍镇偏坡村九组18号"</f>
        <v>贵州省兴义市捧乍镇偏坡村九组18号</v>
      </c>
      <c r="H114" s="11" t="str">
        <f t="shared" si="12"/>
        <v>初中</v>
      </c>
      <c r="I114" s="11" t="str">
        <f t="shared" si="13"/>
        <v>299:政治</v>
      </c>
      <c r="J114" s="11"/>
      <c r="K114" s="1" t="s">
        <v>17</v>
      </c>
      <c r="L114" s="15">
        <v>82.58</v>
      </c>
      <c r="M114" s="11">
        <v>7</v>
      </c>
      <c r="N114" s="20"/>
    </row>
    <row r="115" spans="1:14" s="10" customFormat="1" ht="33" customHeight="1">
      <c r="A115" s="11">
        <v>112</v>
      </c>
      <c r="B115" s="11" t="str">
        <f>"马家媛"</f>
        <v>马家媛</v>
      </c>
      <c r="C115" s="11" t="str">
        <f>"女        "</f>
        <v xml:space="preserve">女        </v>
      </c>
      <c r="D115" s="11" t="str">
        <f>"汉族"</f>
        <v>汉族</v>
      </c>
      <c r="E115" s="11" t="str">
        <f>"532622199302100021"</f>
        <v>532622199302100021</v>
      </c>
      <c r="F115" s="11" t="str">
        <f>"14769223405"</f>
        <v>14769223405</v>
      </c>
      <c r="G115" s="11" t="str">
        <f>"云南省文山壮族苗族自治州砚山县江那镇砚顺小区"</f>
        <v>云南省文山壮族苗族自治州砚山县江那镇砚顺小区</v>
      </c>
      <c r="H115" s="11" t="str">
        <f t="shared" si="12"/>
        <v>初中</v>
      </c>
      <c r="I115" s="11" t="str">
        <f t="shared" si="13"/>
        <v>299:政治</v>
      </c>
      <c r="J115" s="11"/>
      <c r="K115" s="1" t="s">
        <v>17</v>
      </c>
      <c r="L115" s="15">
        <v>82.54</v>
      </c>
      <c r="M115" s="11">
        <v>8</v>
      </c>
      <c r="N115" s="20"/>
    </row>
    <row r="116" spans="1:14" s="10" customFormat="1" ht="33" customHeight="1">
      <c r="A116" s="11">
        <v>113</v>
      </c>
      <c r="B116" s="11" t="str">
        <f>"张红伟"</f>
        <v>张红伟</v>
      </c>
      <c r="C116" s="11" t="str">
        <f>"男        "</f>
        <v xml:space="preserve">男        </v>
      </c>
      <c r="D116" s="11" t="str">
        <f>"傣族"</f>
        <v>傣族</v>
      </c>
      <c r="E116" s="11" t="str">
        <f>"532526199410031473"</f>
        <v>532526199410031473</v>
      </c>
      <c r="F116" s="11" t="str">
        <f>"17690140762"</f>
        <v>17690140762</v>
      </c>
      <c r="G116" s="11" t="str">
        <f>"云南省红河哈尼族彝族自治州弥勒市朋普镇白土凹村"</f>
        <v>云南省红河哈尼族彝族自治州弥勒市朋普镇白土凹村</v>
      </c>
      <c r="H116" s="11" t="str">
        <f t="shared" si="12"/>
        <v>初中</v>
      </c>
      <c r="I116" s="11" t="str">
        <f t="shared" si="13"/>
        <v>299:政治</v>
      </c>
      <c r="J116" s="11"/>
      <c r="K116" s="1" t="s">
        <v>17</v>
      </c>
      <c r="L116" s="15">
        <v>82.42</v>
      </c>
      <c r="M116" s="11">
        <v>9</v>
      </c>
      <c r="N116" s="20"/>
    </row>
    <row r="117" spans="1:14" s="10" customFormat="1" ht="33" customHeight="1">
      <c r="A117" s="11">
        <v>114</v>
      </c>
      <c r="B117" s="11" t="str">
        <f>"罗朝凤"</f>
        <v>罗朝凤</v>
      </c>
      <c r="C117" s="11" t="str">
        <f>"女        "</f>
        <v xml:space="preserve">女        </v>
      </c>
      <c r="D117" s="11" t="str">
        <f>"布依族"</f>
        <v>布依族</v>
      </c>
      <c r="E117" s="11" t="str">
        <f>"522327199203130042"</f>
        <v>522327199203130042</v>
      </c>
      <c r="F117" s="11" t="str">
        <f>"18334112826"</f>
        <v>18334112826</v>
      </c>
      <c r="G117" s="11" t="str">
        <f>"贵州省册亨县者楼镇羊场村冗冲组"</f>
        <v>贵州省册亨县者楼镇羊场村冗冲组</v>
      </c>
      <c r="H117" s="11" t="str">
        <f t="shared" si="12"/>
        <v>初中</v>
      </c>
      <c r="I117" s="11" t="str">
        <f t="shared" si="13"/>
        <v>299:政治</v>
      </c>
      <c r="J117" s="11"/>
      <c r="K117" s="1" t="s">
        <v>17</v>
      </c>
      <c r="L117" s="15">
        <v>82.4</v>
      </c>
      <c r="M117" s="11">
        <v>10</v>
      </c>
      <c r="N117" s="20"/>
    </row>
    <row r="118" spans="1:14" s="10" customFormat="1" ht="33" customHeight="1">
      <c r="A118" s="11">
        <v>115</v>
      </c>
      <c r="B118" s="11" t="str">
        <f>"李泰赟"</f>
        <v>李泰赟</v>
      </c>
      <c r="C118" s="11" t="str">
        <f>"女        "</f>
        <v xml:space="preserve">女        </v>
      </c>
      <c r="D118" s="11" t="str">
        <f>"汉族"</f>
        <v>汉族</v>
      </c>
      <c r="E118" s="11" t="str">
        <f>"522328199303270022"</f>
        <v>522328199303270022</v>
      </c>
      <c r="F118" s="11" t="str">
        <f>"18216725354"</f>
        <v>18216725354</v>
      </c>
      <c r="G118" s="11" t="str">
        <f>"贵州省招堤街道办事处新安镇关桥村瓦窑山组"</f>
        <v>贵州省招堤街道办事处新安镇关桥村瓦窑山组</v>
      </c>
      <c r="H118" s="11" t="str">
        <f t="shared" si="12"/>
        <v>初中</v>
      </c>
      <c r="I118" s="11" t="str">
        <f t="shared" si="13"/>
        <v>299:政治</v>
      </c>
      <c r="J118" s="11"/>
      <c r="K118" s="1" t="s">
        <v>17</v>
      </c>
      <c r="L118" s="15">
        <v>82.36</v>
      </c>
      <c r="M118" s="11">
        <v>11</v>
      </c>
      <c r="N118" s="20"/>
    </row>
    <row r="119" spans="1:14" s="10" customFormat="1" ht="33" customHeight="1">
      <c r="A119" s="11">
        <v>116</v>
      </c>
      <c r="B119" s="11" t="str">
        <f>"张仕米"</f>
        <v>张仕米</v>
      </c>
      <c r="C119" s="11" t="str">
        <f>"女        "</f>
        <v xml:space="preserve">女        </v>
      </c>
      <c r="D119" s="11" t="str">
        <f>"壮族"</f>
        <v>壮族</v>
      </c>
      <c r="E119" s="11" t="str">
        <f>"532622199106141520"</f>
        <v>532622199106141520</v>
      </c>
      <c r="F119" s="11" t="str">
        <f>"15912738192"</f>
        <v>15912738192</v>
      </c>
      <c r="G119" s="11" t="str">
        <f>"云南省文山州砚山县八嘎乡先嘎村"</f>
        <v>云南省文山州砚山县八嘎乡先嘎村</v>
      </c>
      <c r="H119" s="11" t="str">
        <f t="shared" si="12"/>
        <v>初中</v>
      </c>
      <c r="I119" s="11" t="str">
        <f t="shared" si="13"/>
        <v>299:政治</v>
      </c>
      <c r="J119" s="11"/>
      <c r="K119" s="1" t="s">
        <v>17</v>
      </c>
      <c r="L119" s="15">
        <v>82.32</v>
      </c>
      <c r="M119" s="11">
        <v>12</v>
      </c>
      <c r="N119" s="20"/>
    </row>
    <row r="120" spans="1:14" s="10" customFormat="1" ht="33" customHeight="1">
      <c r="A120" s="11">
        <v>117</v>
      </c>
      <c r="B120" s="11" t="str">
        <f>"王志文"</f>
        <v>王志文</v>
      </c>
      <c r="C120" s="11" t="str">
        <f>"男        "</f>
        <v xml:space="preserve">男        </v>
      </c>
      <c r="D120" s="11" t="str">
        <f>"汉族"</f>
        <v>汉族</v>
      </c>
      <c r="E120" s="11" t="str">
        <f>"530381199402164112"</f>
        <v>530381199402164112</v>
      </c>
      <c r="F120" s="11" t="str">
        <f>"15334351995"</f>
        <v>15334351995</v>
      </c>
      <c r="G120" s="11" t="str">
        <f>"云南省宣威市得禄乡迭那村委会翻山村53号"</f>
        <v>云南省宣威市得禄乡迭那村委会翻山村53号</v>
      </c>
      <c r="H120" s="11" t="str">
        <f t="shared" si="12"/>
        <v>初中</v>
      </c>
      <c r="I120" s="11" t="str">
        <f t="shared" si="13"/>
        <v>299:政治</v>
      </c>
      <c r="J120" s="11"/>
      <c r="K120" s="1" t="s">
        <v>17</v>
      </c>
      <c r="L120" s="15">
        <v>82.3</v>
      </c>
      <c r="M120" s="11">
        <v>13</v>
      </c>
      <c r="N120" s="20"/>
    </row>
    <row r="121" spans="1:14" s="10" customFormat="1" ht="33" customHeight="1">
      <c r="A121" s="11">
        <v>118</v>
      </c>
      <c r="B121" s="11" t="str">
        <f>"李安鑫"</f>
        <v>李安鑫</v>
      </c>
      <c r="C121" s="11" t="str">
        <f>"男        "</f>
        <v xml:space="preserve">男        </v>
      </c>
      <c r="D121" s="11" t="str">
        <f>"汉族"</f>
        <v>汉族</v>
      </c>
      <c r="E121" s="11" t="str">
        <f>"522428199303130818"</f>
        <v>522428199303130818</v>
      </c>
      <c r="F121" s="11" t="str">
        <f>"16608758899"</f>
        <v>16608758899</v>
      </c>
      <c r="G121" s="11" t="str">
        <f>"贵州省赫章县六曲河镇燕子村各燕组"</f>
        <v>贵州省赫章县六曲河镇燕子村各燕组</v>
      </c>
      <c r="H121" s="11" t="str">
        <f t="shared" si="12"/>
        <v>初中</v>
      </c>
      <c r="I121" s="11" t="str">
        <f t="shared" si="13"/>
        <v>299:政治</v>
      </c>
      <c r="J121" s="11"/>
      <c r="K121" s="1" t="s">
        <v>17</v>
      </c>
      <c r="L121" s="15">
        <v>82.16</v>
      </c>
      <c r="M121" s="11">
        <v>14</v>
      </c>
      <c r="N121" s="20"/>
    </row>
    <row r="122" spans="1:14" s="10" customFormat="1" ht="33" customHeight="1">
      <c r="A122" s="11">
        <v>119</v>
      </c>
      <c r="B122" s="11" t="str">
        <f>"熊东秀"</f>
        <v>熊东秀</v>
      </c>
      <c r="C122" s="11" t="str">
        <f>"女        "</f>
        <v xml:space="preserve">女        </v>
      </c>
      <c r="D122" s="11" t="str">
        <f>"壮族"</f>
        <v>壮族</v>
      </c>
      <c r="E122" s="11" t="str">
        <f>"452632199609130420"</f>
        <v>452632199609130420</v>
      </c>
      <c r="F122" s="11" t="str">
        <f>"18775949801"</f>
        <v>18775949801</v>
      </c>
      <c r="G122" s="11" t="str">
        <f>"广西西林县马蚌镇武定村武定屯"</f>
        <v>广西西林县马蚌镇武定村武定屯</v>
      </c>
      <c r="H122" s="11" t="str">
        <f t="shared" si="12"/>
        <v>初中</v>
      </c>
      <c r="I122" s="11" t="str">
        <f t="shared" si="13"/>
        <v>299:政治</v>
      </c>
      <c r="J122" s="11"/>
      <c r="K122" s="1" t="s">
        <v>17</v>
      </c>
      <c r="L122" s="15">
        <v>81.48</v>
      </c>
      <c r="M122" s="11">
        <v>15</v>
      </c>
      <c r="N122" s="20"/>
    </row>
    <row r="123" spans="1:14" s="10" customFormat="1" ht="33" customHeight="1">
      <c r="A123" s="11">
        <v>120</v>
      </c>
      <c r="B123" s="11" t="str">
        <f>"施国樑"</f>
        <v>施国樑</v>
      </c>
      <c r="C123" s="11" t="str">
        <f>"男        "</f>
        <v xml:space="preserve">男        </v>
      </c>
      <c r="D123" s="11" t="str">
        <f>"汉族"</f>
        <v>汉族</v>
      </c>
      <c r="E123" s="11" t="str">
        <f>"53011319960203311X"</f>
        <v>53011319960203311X</v>
      </c>
      <c r="F123" s="11" t="str">
        <f>"14736804843"</f>
        <v>14736804843</v>
      </c>
      <c r="G123" s="11" t="str">
        <f>"云南省昆明市东川区红土地镇大坪子村三组38号"</f>
        <v>云南省昆明市东川区红土地镇大坪子村三组38号</v>
      </c>
      <c r="H123" s="11" t="str">
        <f t="shared" si="12"/>
        <v>初中</v>
      </c>
      <c r="I123" s="11" t="str">
        <f t="shared" si="13"/>
        <v>299:政治</v>
      </c>
      <c r="J123" s="11"/>
      <c r="K123" s="1" t="s">
        <v>17</v>
      </c>
      <c r="L123" s="15">
        <v>81.3</v>
      </c>
      <c r="M123" s="11">
        <v>16</v>
      </c>
      <c r="N123" s="20"/>
    </row>
    <row r="124" spans="1:14" s="10" customFormat="1" ht="33" customHeight="1">
      <c r="A124" s="11">
        <v>121</v>
      </c>
      <c r="B124" s="11" t="str">
        <f>"韦国忠"</f>
        <v>韦国忠</v>
      </c>
      <c r="C124" s="11" t="str">
        <f>"男        "</f>
        <v xml:space="preserve">男        </v>
      </c>
      <c r="D124" s="11" t="str">
        <f>"布依族"</f>
        <v>布依族</v>
      </c>
      <c r="E124" s="11" t="str">
        <f>"522326199207210019"</f>
        <v>522326199207210019</v>
      </c>
      <c r="F124" s="11" t="str">
        <f>"15186412673"</f>
        <v>15186412673</v>
      </c>
      <c r="G124" s="11" t="str">
        <f>"贵州省望谟县复兴镇坝秧村二组"</f>
        <v>贵州省望谟县复兴镇坝秧村二组</v>
      </c>
      <c r="H124" s="11" t="str">
        <f t="shared" si="12"/>
        <v>初中</v>
      </c>
      <c r="I124" s="11" t="str">
        <f t="shared" si="13"/>
        <v>299:政治</v>
      </c>
      <c r="J124" s="11"/>
      <c r="K124" s="1" t="s">
        <v>17</v>
      </c>
      <c r="L124" s="15">
        <v>80.28</v>
      </c>
      <c r="M124" s="11">
        <v>17</v>
      </c>
      <c r="N124" s="20"/>
    </row>
    <row r="125" spans="1:14" s="10" customFormat="1" ht="33" customHeight="1">
      <c r="A125" s="11">
        <v>122</v>
      </c>
      <c r="B125" s="11" t="str">
        <f>"马文刚"</f>
        <v>马文刚</v>
      </c>
      <c r="C125" s="11" t="str">
        <f>"男        "</f>
        <v xml:space="preserve">男        </v>
      </c>
      <c r="D125" s="11" t="str">
        <f>"汉族"</f>
        <v>汉族</v>
      </c>
      <c r="E125" s="11" t="str">
        <f>"530322199306232859"</f>
        <v>530322199306232859</v>
      </c>
      <c r="F125" s="11" t="str">
        <f>"13649663025"</f>
        <v>13649663025</v>
      </c>
      <c r="G125" s="11" t="str">
        <f>"云南省曲靖市陆良县芳华镇小雨堡村72号"</f>
        <v>云南省曲靖市陆良县芳华镇小雨堡村72号</v>
      </c>
      <c r="H125" s="11" t="str">
        <f t="shared" si="12"/>
        <v>初中</v>
      </c>
      <c r="I125" s="11" t="str">
        <f t="shared" si="13"/>
        <v>299:政治</v>
      </c>
      <c r="J125" s="11"/>
      <c r="K125" s="1" t="s">
        <v>17</v>
      </c>
      <c r="L125" s="15">
        <v>78.2</v>
      </c>
      <c r="M125" s="11">
        <v>18</v>
      </c>
      <c r="N125" s="20"/>
    </row>
    <row r="126" spans="1:14" s="10" customFormat="1" ht="33" customHeight="1">
      <c r="A126" s="11">
        <v>123</v>
      </c>
      <c r="B126" s="11" t="str">
        <f>"胡昌文"</f>
        <v>胡昌文</v>
      </c>
      <c r="C126" s="11" t="str">
        <f>"男        "</f>
        <v xml:space="preserve">男        </v>
      </c>
      <c r="D126" s="11" t="str">
        <f>"汉族"</f>
        <v>汉族</v>
      </c>
      <c r="E126" s="11" t="str">
        <f>"53262319931130193X"</f>
        <v>53262319931130193X</v>
      </c>
      <c r="F126" s="11" t="str">
        <f>"18487732212"</f>
        <v>18487732212</v>
      </c>
      <c r="G126" s="11" t="str">
        <f>"云南省文山壮族苗族自治州西畴县董马乡铺子村民委坝子"</f>
        <v>云南省文山壮族苗族自治州西畴县董马乡铺子村民委坝子</v>
      </c>
      <c r="H126" s="11" t="str">
        <f t="shared" si="12"/>
        <v>初中</v>
      </c>
      <c r="I126" s="11" t="str">
        <f t="shared" si="13"/>
        <v>299:政治</v>
      </c>
      <c r="J126" s="11"/>
      <c r="K126" s="1" t="s">
        <v>17</v>
      </c>
      <c r="L126" s="15">
        <v>77.64</v>
      </c>
      <c r="M126" s="11">
        <v>19</v>
      </c>
      <c r="N126" s="20"/>
    </row>
    <row r="127" spans="1:14" s="10" customFormat="1" ht="33" customHeight="1">
      <c r="A127" s="11">
        <v>124</v>
      </c>
      <c r="B127" s="7" t="str">
        <f>"贺倩倩"</f>
        <v>贺倩倩</v>
      </c>
      <c r="C127" s="7" t="str">
        <f>"女        "</f>
        <v xml:space="preserve">女        </v>
      </c>
      <c r="D127" s="7" t="str">
        <f>"布依族"</f>
        <v>布依族</v>
      </c>
      <c r="E127" s="7" t="str">
        <f>"522328199601041885"</f>
        <v>522328199601041885</v>
      </c>
      <c r="F127" s="7" t="str">
        <f>"15180775447"</f>
        <v>15180775447</v>
      </c>
      <c r="G127" s="7" t="str">
        <f>"贵州省安龙县万峰湖纳赖村拉然沟"</f>
        <v>贵州省安龙县万峰湖纳赖村拉然沟</v>
      </c>
      <c r="H127" s="7" t="str">
        <f t="shared" si="12"/>
        <v>初中</v>
      </c>
      <c r="I127" s="7" t="str">
        <f t="shared" ref="I127:I147" si="14">"206:历史"</f>
        <v>206:历史</v>
      </c>
      <c r="J127" s="7"/>
      <c r="K127" s="5" t="s">
        <v>19</v>
      </c>
      <c r="L127" s="16">
        <v>85.63</v>
      </c>
      <c r="M127" s="28">
        <v>1</v>
      </c>
      <c r="N127" s="20" t="s">
        <v>46</v>
      </c>
    </row>
    <row r="128" spans="1:14" s="10" customFormat="1" ht="33" customHeight="1">
      <c r="A128" s="11">
        <v>125</v>
      </c>
      <c r="B128" s="7" t="str">
        <f>"高曼琪"</f>
        <v>高曼琪</v>
      </c>
      <c r="C128" s="7" t="str">
        <f>"女        "</f>
        <v xml:space="preserve">女        </v>
      </c>
      <c r="D128" s="7" t="str">
        <f>"汉族"</f>
        <v>汉族</v>
      </c>
      <c r="E128" s="7" t="str">
        <f>"530325199805111524"</f>
        <v>530325199805111524</v>
      </c>
      <c r="F128" s="7" t="str">
        <f>"13688734738"</f>
        <v>13688734738</v>
      </c>
      <c r="G128" s="7" t="str">
        <f>"云南省曲靖市富源县黄泥河镇阿汪村委会问土村"</f>
        <v>云南省曲靖市富源县黄泥河镇阿汪村委会问土村</v>
      </c>
      <c r="H128" s="7" t="str">
        <f t="shared" si="12"/>
        <v>初中</v>
      </c>
      <c r="I128" s="7" t="str">
        <f t="shared" si="14"/>
        <v>206:历史</v>
      </c>
      <c r="J128" s="7"/>
      <c r="K128" s="5" t="s">
        <v>19</v>
      </c>
      <c r="L128" s="16">
        <v>85.35</v>
      </c>
      <c r="M128" s="28">
        <v>2</v>
      </c>
      <c r="N128" s="20" t="s">
        <v>46</v>
      </c>
    </row>
    <row r="129" spans="1:14" s="10" customFormat="1" ht="33" customHeight="1">
      <c r="A129" s="11">
        <v>126</v>
      </c>
      <c r="B129" s="7" t="str">
        <f>"李路强"</f>
        <v>李路强</v>
      </c>
      <c r="C129" s="7" t="str">
        <f>"男        "</f>
        <v xml:space="preserve">男        </v>
      </c>
      <c r="D129" s="7" t="str">
        <f>"汉族"</f>
        <v>汉族</v>
      </c>
      <c r="E129" s="7" t="str">
        <f>"530321199308291514"</f>
        <v>530321199308291514</v>
      </c>
      <c r="F129" s="7" t="str">
        <f>"15287966367"</f>
        <v>15287966367</v>
      </c>
      <c r="G129" s="7" t="s">
        <v>20</v>
      </c>
      <c r="H129" s="7" t="str">
        <f t="shared" si="12"/>
        <v>初中</v>
      </c>
      <c r="I129" s="7" t="str">
        <f t="shared" si="14"/>
        <v>206:历史</v>
      </c>
      <c r="J129" s="7"/>
      <c r="K129" s="5" t="s">
        <v>19</v>
      </c>
      <c r="L129" s="16">
        <v>85.24</v>
      </c>
      <c r="M129" s="28">
        <v>3</v>
      </c>
      <c r="N129" s="20" t="s">
        <v>46</v>
      </c>
    </row>
    <row r="130" spans="1:14" s="10" customFormat="1" ht="33" customHeight="1">
      <c r="A130" s="11">
        <v>127</v>
      </c>
      <c r="B130" s="7" t="str">
        <f>"陆大班"</f>
        <v>陆大班</v>
      </c>
      <c r="C130" s="7" t="str">
        <f>"男        "</f>
        <v xml:space="preserve">男        </v>
      </c>
      <c r="D130" s="7" t="str">
        <f>"布依族"</f>
        <v>布依族</v>
      </c>
      <c r="E130" s="7" t="str">
        <f>"52232419920416523X"</f>
        <v>52232419920416523X</v>
      </c>
      <c r="F130" s="7" t="str">
        <f>"15870394215"</f>
        <v>15870394215</v>
      </c>
      <c r="G130" s="7" t="str">
        <f>"贵州省晴隆县中云镇新红村桥边组"</f>
        <v>贵州省晴隆县中云镇新红村桥边组</v>
      </c>
      <c r="H130" s="7" t="str">
        <f t="shared" si="12"/>
        <v>初中</v>
      </c>
      <c r="I130" s="7" t="str">
        <f t="shared" si="14"/>
        <v>206:历史</v>
      </c>
      <c r="J130" s="7"/>
      <c r="K130" s="5" t="s">
        <v>19</v>
      </c>
      <c r="L130" s="16">
        <v>84.96</v>
      </c>
      <c r="M130" s="28">
        <v>4</v>
      </c>
      <c r="N130" s="20" t="s">
        <v>46</v>
      </c>
    </row>
    <row r="131" spans="1:14" s="10" customFormat="1" ht="33" customHeight="1">
      <c r="A131" s="11">
        <v>128</v>
      </c>
      <c r="B131" s="7" t="str">
        <f>"贺文美"</f>
        <v>贺文美</v>
      </c>
      <c r="C131" s="7" t="str">
        <f>"女        "</f>
        <v xml:space="preserve">女        </v>
      </c>
      <c r="D131" s="7" t="str">
        <f>"壮族"</f>
        <v>壮族</v>
      </c>
      <c r="E131" s="7" t="str">
        <f>"452631199609102626"</f>
        <v>452631199609102626</v>
      </c>
      <c r="F131" s="7" t="str">
        <f>"18177698816"</f>
        <v>18177698816</v>
      </c>
      <c r="G131" s="7" t="str">
        <f>"广西百色市隆林县新州镇迎宾路消防队后面第三家"</f>
        <v>广西百色市隆林县新州镇迎宾路消防队后面第三家</v>
      </c>
      <c r="H131" s="7" t="str">
        <f t="shared" si="12"/>
        <v>初中</v>
      </c>
      <c r="I131" s="7" t="str">
        <f t="shared" si="14"/>
        <v>206:历史</v>
      </c>
      <c r="J131" s="7"/>
      <c r="K131" s="5" t="s">
        <v>19</v>
      </c>
      <c r="L131" s="16">
        <v>84.87</v>
      </c>
      <c r="M131" s="28">
        <v>5</v>
      </c>
      <c r="N131" s="20" t="s">
        <v>46</v>
      </c>
    </row>
    <row r="132" spans="1:14" s="10" customFormat="1" ht="33" customHeight="1">
      <c r="A132" s="11">
        <v>129</v>
      </c>
      <c r="B132" s="7" t="str">
        <f>"张通"</f>
        <v>张通</v>
      </c>
      <c r="C132" s="7" t="str">
        <f>"男        "</f>
        <v xml:space="preserve">男        </v>
      </c>
      <c r="D132" s="7" t="str">
        <f>"汉族"</f>
        <v>汉族</v>
      </c>
      <c r="E132" s="7" t="str">
        <f>"530325199110220732"</f>
        <v>530325199110220732</v>
      </c>
      <c r="F132" s="7" t="str">
        <f>"15125505667"</f>
        <v>15125505667</v>
      </c>
      <c r="G132" s="7" t="str">
        <f>"云南省曲靖曲靖市富源县大河镇起铺村委会起铺村"</f>
        <v>云南省曲靖曲靖市富源县大河镇起铺村委会起铺村</v>
      </c>
      <c r="H132" s="7" t="str">
        <f t="shared" si="12"/>
        <v>初中</v>
      </c>
      <c r="I132" s="7" t="str">
        <f t="shared" si="14"/>
        <v>206:历史</v>
      </c>
      <c r="J132" s="7"/>
      <c r="K132" s="5" t="s">
        <v>19</v>
      </c>
      <c r="L132" s="16">
        <v>84.57</v>
      </c>
      <c r="M132" s="21">
        <v>6</v>
      </c>
      <c r="N132" s="20"/>
    </row>
    <row r="133" spans="1:14" s="10" customFormat="1" ht="33" customHeight="1">
      <c r="A133" s="11">
        <v>130</v>
      </c>
      <c r="B133" s="7" t="str">
        <f>"陈春芳"</f>
        <v>陈春芳</v>
      </c>
      <c r="C133" s="7" t="str">
        <f>"女        "</f>
        <v xml:space="preserve">女        </v>
      </c>
      <c r="D133" s="7" t="str">
        <f>"汉族"</f>
        <v>汉族</v>
      </c>
      <c r="E133" s="7" t="str">
        <f>"522322199203190043"</f>
        <v>522322199203190043</v>
      </c>
      <c r="F133" s="7" t="str">
        <f>"18798619150"</f>
        <v>18798619150</v>
      </c>
      <c r="G133" s="7" t="str">
        <f>"贵州省黔西南布依族苗族自治州兴仁县"</f>
        <v>贵州省黔西南布依族苗族自治州兴仁县</v>
      </c>
      <c r="H133" s="7" t="str">
        <f t="shared" si="12"/>
        <v>初中</v>
      </c>
      <c r="I133" s="7" t="str">
        <f t="shared" si="14"/>
        <v>206:历史</v>
      </c>
      <c r="J133" s="7"/>
      <c r="K133" s="5" t="s">
        <v>19</v>
      </c>
      <c r="L133" s="16">
        <v>84.14</v>
      </c>
      <c r="M133" s="21">
        <v>7</v>
      </c>
      <c r="N133" s="20"/>
    </row>
    <row r="134" spans="1:14" s="10" customFormat="1" ht="33" customHeight="1">
      <c r="A134" s="11">
        <v>131</v>
      </c>
      <c r="B134" s="7" t="str">
        <f>"赵烨晓"</f>
        <v>赵烨晓</v>
      </c>
      <c r="C134" s="7" t="str">
        <f>"女        "</f>
        <v xml:space="preserve">女        </v>
      </c>
      <c r="D134" s="7" t="str">
        <f>"白族"</f>
        <v>白族</v>
      </c>
      <c r="E134" s="7" t="str">
        <f>"532931199212040320"</f>
        <v>532931199212040320</v>
      </c>
      <c r="F134" s="7" t="str">
        <f>"18313254490"</f>
        <v>18313254490</v>
      </c>
      <c r="G134" s="7" t="str">
        <f>"云南省大理州剑川县金华镇文榜水古楼75号"</f>
        <v>云南省大理州剑川县金华镇文榜水古楼75号</v>
      </c>
      <c r="H134" s="7" t="str">
        <f t="shared" si="12"/>
        <v>初中</v>
      </c>
      <c r="I134" s="7" t="str">
        <f t="shared" si="14"/>
        <v>206:历史</v>
      </c>
      <c r="J134" s="7"/>
      <c r="K134" s="5" t="s">
        <v>19</v>
      </c>
      <c r="L134" s="16">
        <v>83.93</v>
      </c>
      <c r="M134" s="21">
        <v>8</v>
      </c>
      <c r="N134" s="20"/>
    </row>
    <row r="135" spans="1:14" s="10" customFormat="1" ht="33" customHeight="1">
      <c r="A135" s="11">
        <v>132</v>
      </c>
      <c r="B135" s="7" t="str">
        <f>"周发玉"</f>
        <v>周发玉</v>
      </c>
      <c r="C135" s="7" t="str">
        <f>"男        "</f>
        <v xml:space="preserve">男        </v>
      </c>
      <c r="D135" s="7" t="str">
        <f>"汉族"</f>
        <v>汉族</v>
      </c>
      <c r="E135" s="7" t="str">
        <f>"530326199201094635"</f>
        <v>530326199201094635</v>
      </c>
      <c r="F135" s="7" t="str">
        <f>"18313363189"</f>
        <v>18313363189</v>
      </c>
      <c r="G135" s="7" t="str">
        <f>"云南省曲靖市会泽县待补镇箐门口村"</f>
        <v>云南省曲靖市会泽县待补镇箐门口村</v>
      </c>
      <c r="H135" s="7" t="str">
        <f t="shared" si="12"/>
        <v>初中</v>
      </c>
      <c r="I135" s="7" t="str">
        <f t="shared" si="14"/>
        <v>206:历史</v>
      </c>
      <c r="J135" s="7"/>
      <c r="K135" s="5" t="s">
        <v>19</v>
      </c>
      <c r="L135" s="16">
        <v>83.6</v>
      </c>
      <c r="M135" s="21">
        <v>9</v>
      </c>
      <c r="N135" s="20"/>
    </row>
    <row r="136" spans="1:14" s="10" customFormat="1" ht="33" customHeight="1">
      <c r="A136" s="11">
        <v>133</v>
      </c>
      <c r="B136" s="7" t="str">
        <f>"王霞"</f>
        <v>王霞</v>
      </c>
      <c r="C136" s="7" t="str">
        <f>"女        "</f>
        <v xml:space="preserve">女        </v>
      </c>
      <c r="D136" s="7" t="str">
        <f>"汉族"</f>
        <v>汉族</v>
      </c>
      <c r="E136" s="7" t="str">
        <f>"530322199501201361"</f>
        <v>530322199501201361</v>
      </c>
      <c r="F136" s="7" t="str">
        <f>"15758792268"</f>
        <v>15758792268</v>
      </c>
      <c r="G136" s="7" t="str">
        <f>"云南省曲靖市陆良县龙海乡大新村村委会刘家窝棚村"</f>
        <v>云南省曲靖市陆良县龙海乡大新村村委会刘家窝棚村</v>
      </c>
      <c r="H136" s="7" t="str">
        <f t="shared" si="12"/>
        <v>初中</v>
      </c>
      <c r="I136" s="7" t="str">
        <f t="shared" si="14"/>
        <v>206:历史</v>
      </c>
      <c r="J136" s="7"/>
      <c r="K136" s="5" t="s">
        <v>19</v>
      </c>
      <c r="L136" s="16">
        <v>83.6</v>
      </c>
      <c r="M136" s="21">
        <v>10</v>
      </c>
      <c r="N136" s="20"/>
    </row>
    <row r="137" spans="1:14" s="10" customFormat="1" ht="33" customHeight="1">
      <c r="A137" s="11">
        <v>134</v>
      </c>
      <c r="B137" s="7" t="str">
        <f>"甘正艳"</f>
        <v>甘正艳</v>
      </c>
      <c r="C137" s="7" t="str">
        <f>"女        "</f>
        <v xml:space="preserve">女        </v>
      </c>
      <c r="D137" s="7" t="str">
        <f>"汉族"</f>
        <v>汉族</v>
      </c>
      <c r="E137" s="7" t="str">
        <f>"452631199510040349"</f>
        <v>452631199510040349</v>
      </c>
      <c r="F137" s="7" t="str">
        <f>"13217783346"</f>
        <v>13217783346</v>
      </c>
      <c r="G137" s="7" t="str">
        <f>"隆林县丁兰料市场"</f>
        <v>隆林县丁兰料市场</v>
      </c>
      <c r="H137" s="7" t="str">
        <f t="shared" si="12"/>
        <v>初中</v>
      </c>
      <c r="I137" s="7" t="str">
        <f t="shared" si="14"/>
        <v>206:历史</v>
      </c>
      <c r="J137" s="7"/>
      <c r="K137" s="5" t="s">
        <v>19</v>
      </c>
      <c r="L137" s="16">
        <v>82.89</v>
      </c>
      <c r="M137" s="21">
        <v>11</v>
      </c>
      <c r="N137" s="20"/>
    </row>
    <row r="138" spans="1:14" s="10" customFormat="1" ht="33" customHeight="1">
      <c r="A138" s="11">
        <v>135</v>
      </c>
      <c r="B138" s="7" t="str">
        <f>"代正双"</f>
        <v>代正双</v>
      </c>
      <c r="C138" s="7" t="str">
        <f>"女        "</f>
        <v xml:space="preserve">女        </v>
      </c>
      <c r="D138" s="7" t="str">
        <f>"汉族"</f>
        <v>汉族</v>
      </c>
      <c r="E138" s="7" t="str">
        <f>"522328199304080247"</f>
        <v>522328199304080247</v>
      </c>
      <c r="F138" s="7" t="str">
        <f>"18285808689"</f>
        <v>18285808689</v>
      </c>
      <c r="G138" s="7" t="str">
        <f>"贵州省安龙县新安镇阿皂村湾子组"</f>
        <v>贵州省安龙县新安镇阿皂村湾子组</v>
      </c>
      <c r="H138" s="7" t="str">
        <f t="shared" si="12"/>
        <v>初中</v>
      </c>
      <c r="I138" s="7" t="str">
        <f t="shared" si="14"/>
        <v>206:历史</v>
      </c>
      <c r="J138" s="7"/>
      <c r="K138" s="5" t="s">
        <v>19</v>
      </c>
      <c r="L138" s="16">
        <v>82.52</v>
      </c>
      <c r="M138" s="21">
        <v>12</v>
      </c>
      <c r="N138" s="20"/>
    </row>
    <row r="139" spans="1:14" s="10" customFormat="1" ht="33" customHeight="1">
      <c r="A139" s="11">
        <v>136</v>
      </c>
      <c r="B139" s="7" t="str">
        <f>"张凯"</f>
        <v>张凯</v>
      </c>
      <c r="C139" s="7" t="str">
        <f>"男        "</f>
        <v xml:space="preserve">男        </v>
      </c>
      <c r="D139" s="7" t="str">
        <f>"基诺族"</f>
        <v>基诺族</v>
      </c>
      <c r="E139" s="7" t="str">
        <f>"522425199311218415"</f>
        <v>522425199311218415</v>
      </c>
      <c r="F139" s="7" t="str">
        <f>"15117389467"</f>
        <v>15117389467</v>
      </c>
      <c r="G139" s="7" t="str">
        <f>"贵州省毕节市织金县白泥镇先锋村大寨组"</f>
        <v>贵州省毕节市织金县白泥镇先锋村大寨组</v>
      </c>
      <c r="H139" s="7" t="str">
        <f t="shared" si="12"/>
        <v>初中</v>
      </c>
      <c r="I139" s="7" t="str">
        <f t="shared" si="14"/>
        <v>206:历史</v>
      </c>
      <c r="J139" s="7"/>
      <c r="K139" s="5" t="s">
        <v>19</v>
      </c>
      <c r="L139" s="16">
        <v>82.36</v>
      </c>
      <c r="M139" s="21">
        <v>13</v>
      </c>
      <c r="N139" s="20"/>
    </row>
    <row r="140" spans="1:14" s="10" customFormat="1" ht="33" customHeight="1">
      <c r="A140" s="11">
        <v>137</v>
      </c>
      <c r="B140" s="7" t="str">
        <f>"李自瑞"</f>
        <v>李自瑞</v>
      </c>
      <c r="C140" s="7" t="str">
        <f>"女        "</f>
        <v xml:space="preserve">女        </v>
      </c>
      <c r="D140" s="7" t="str">
        <f>"汉族"</f>
        <v>汉族</v>
      </c>
      <c r="E140" s="7" t="str">
        <f>"530127199601111022"</f>
        <v>530127199601111022</v>
      </c>
      <c r="F140" s="7" t="str">
        <f>"15750291898"</f>
        <v>15750291898</v>
      </c>
      <c r="G140" s="7" t="str">
        <f>"云南省昆明市嵩明县嵩阳镇白鹤村85号"</f>
        <v>云南省昆明市嵩明县嵩阳镇白鹤村85号</v>
      </c>
      <c r="H140" s="7" t="str">
        <f t="shared" si="12"/>
        <v>初中</v>
      </c>
      <c r="I140" s="7" t="str">
        <f t="shared" si="14"/>
        <v>206:历史</v>
      </c>
      <c r="J140" s="7"/>
      <c r="K140" s="5" t="s">
        <v>19</v>
      </c>
      <c r="L140" s="16">
        <v>81.73</v>
      </c>
      <c r="M140" s="21">
        <v>14</v>
      </c>
      <c r="N140" s="20"/>
    </row>
    <row r="141" spans="1:14" s="10" customFormat="1" ht="33" customHeight="1">
      <c r="A141" s="11">
        <v>138</v>
      </c>
      <c r="B141" s="7" t="str">
        <f>"左丹"</f>
        <v>左丹</v>
      </c>
      <c r="C141" s="7" t="str">
        <f>"女        "</f>
        <v xml:space="preserve">女        </v>
      </c>
      <c r="D141" s="7" t="str">
        <f>"汉族"</f>
        <v>汉族</v>
      </c>
      <c r="E141" s="7" t="str">
        <f>"522325199509271224"</f>
        <v>522325199509271224</v>
      </c>
      <c r="F141" s="7" t="str">
        <f>"15186415696"</f>
        <v>15186415696</v>
      </c>
      <c r="G141" s="7" t="str">
        <f>"贵州省贞丰县北盘江镇北盘江村左家屯三组"</f>
        <v>贵州省贞丰县北盘江镇北盘江村左家屯三组</v>
      </c>
      <c r="H141" s="7" t="str">
        <f t="shared" si="12"/>
        <v>初中</v>
      </c>
      <c r="I141" s="7" t="str">
        <f t="shared" si="14"/>
        <v>206:历史</v>
      </c>
      <c r="J141" s="7"/>
      <c r="K141" s="5" t="s">
        <v>19</v>
      </c>
      <c r="L141" s="16">
        <v>81.02</v>
      </c>
      <c r="M141" s="21">
        <v>15</v>
      </c>
      <c r="N141" s="20"/>
    </row>
    <row r="142" spans="1:14" s="10" customFormat="1" ht="33" customHeight="1">
      <c r="A142" s="11">
        <v>139</v>
      </c>
      <c r="B142" s="7" t="str">
        <f>"罗珊珊"</f>
        <v>罗珊珊</v>
      </c>
      <c r="C142" s="7" t="str">
        <f>"女        "</f>
        <v xml:space="preserve">女        </v>
      </c>
      <c r="D142" s="7" t="str">
        <f>"汉族"</f>
        <v>汉族</v>
      </c>
      <c r="E142" s="7" t="str">
        <f>"530423199211130640"</f>
        <v>530423199211130640</v>
      </c>
      <c r="F142" s="7" t="str">
        <f>"18313254680"</f>
        <v>18313254680</v>
      </c>
      <c r="G142" s="7" t="str">
        <f>"云南省玉溪市通海县河西镇罗吉下村"</f>
        <v>云南省玉溪市通海县河西镇罗吉下村</v>
      </c>
      <c r="H142" s="7" t="str">
        <f t="shared" si="12"/>
        <v>初中</v>
      </c>
      <c r="I142" s="7" t="str">
        <f t="shared" si="14"/>
        <v>206:历史</v>
      </c>
      <c r="J142" s="7"/>
      <c r="K142" s="5" t="s">
        <v>19</v>
      </c>
      <c r="L142" s="16">
        <v>80.959999999999994</v>
      </c>
      <c r="M142" s="21">
        <v>16</v>
      </c>
      <c r="N142" s="20"/>
    </row>
    <row r="143" spans="1:14" s="10" customFormat="1" ht="33" customHeight="1">
      <c r="A143" s="11">
        <v>140</v>
      </c>
      <c r="B143" s="7" t="str">
        <f>"晏连恩"</f>
        <v>晏连恩</v>
      </c>
      <c r="C143" s="7" t="str">
        <f>"男        "</f>
        <v xml:space="preserve">男        </v>
      </c>
      <c r="D143" s="7" t="str">
        <f>"汉族"</f>
        <v>汉族</v>
      </c>
      <c r="E143" s="7" t="str">
        <f>"530325199302101113"</f>
        <v>530325199302101113</v>
      </c>
      <c r="F143" s="7" t="str">
        <f>"15974598712"</f>
        <v>15974598712</v>
      </c>
      <c r="G143" s="7" t="str">
        <f>"云南省曲靖市富源县营上镇营上村委会大城头村"</f>
        <v>云南省曲靖市富源县营上镇营上村委会大城头村</v>
      </c>
      <c r="H143" s="7" t="str">
        <f t="shared" si="12"/>
        <v>初中</v>
      </c>
      <c r="I143" s="7" t="str">
        <f t="shared" si="14"/>
        <v>206:历史</v>
      </c>
      <c r="J143" s="7"/>
      <c r="K143" s="5" t="s">
        <v>19</v>
      </c>
      <c r="L143" s="16">
        <v>80.31</v>
      </c>
      <c r="M143" s="21">
        <v>17</v>
      </c>
      <c r="N143" s="20"/>
    </row>
    <row r="144" spans="1:14" s="10" customFormat="1" ht="33" customHeight="1">
      <c r="A144" s="11">
        <v>141</v>
      </c>
      <c r="B144" s="7" t="str">
        <f>"张琴"</f>
        <v>张琴</v>
      </c>
      <c r="C144" s="7" t="str">
        <f>"女        "</f>
        <v xml:space="preserve">女        </v>
      </c>
      <c r="D144" s="7" t="str">
        <f>"布依族"</f>
        <v>布依族</v>
      </c>
      <c r="E144" s="7" t="str">
        <f>"522301199601100021"</f>
        <v>522301199601100021</v>
      </c>
      <c r="F144" s="7" t="str">
        <f>"18386408183"</f>
        <v>18386408183</v>
      </c>
      <c r="G144" s="7" t="str">
        <f>"贵州省兴义市三江口镇红落万村小寨组"</f>
        <v>贵州省兴义市三江口镇红落万村小寨组</v>
      </c>
      <c r="H144" s="7" t="str">
        <f t="shared" si="12"/>
        <v>初中</v>
      </c>
      <c r="I144" s="7" t="str">
        <f t="shared" si="14"/>
        <v>206:历史</v>
      </c>
      <c r="J144" s="7"/>
      <c r="K144" s="5" t="s">
        <v>19</v>
      </c>
      <c r="L144" s="16">
        <v>80.2</v>
      </c>
      <c r="M144" s="21">
        <v>18</v>
      </c>
      <c r="N144" s="20"/>
    </row>
    <row r="145" spans="1:14" s="10" customFormat="1" ht="33" customHeight="1">
      <c r="A145" s="11">
        <v>142</v>
      </c>
      <c r="B145" s="7" t="str">
        <f>"王艳"</f>
        <v>王艳</v>
      </c>
      <c r="C145" s="7" t="str">
        <f>"女        "</f>
        <v xml:space="preserve">女        </v>
      </c>
      <c r="D145" s="7" t="str">
        <f>"苗族"</f>
        <v>苗族</v>
      </c>
      <c r="E145" s="7" t="str">
        <f>"52232219970201436X"</f>
        <v>52232219970201436X</v>
      </c>
      <c r="F145" s="7" t="str">
        <f>"18785123290"</f>
        <v>18785123290</v>
      </c>
      <c r="G145" s="7" t="str">
        <f>"贵州省兴仁县巴铃镇咔嘎寨村田坝组"</f>
        <v>贵州省兴仁县巴铃镇咔嘎寨村田坝组</v>
      </c>
      <c r="H145" s="7" t="str">
        <f t="shared" si="12"/>
        <v>初中</v>
      </c>
      <c r="I145" s="7" t="str">
        <f t="shared" si="14"/>
        <v>206:历史</v>
      </c>
      <c r="J145" s="7"/>
      <c r="K145" s="5" t="s">
        <v>19</v>
      </c>
      <c r="L145" s="16">
        <v>79.47</v>
      </c>
      <c r="M145" s="21">
        <v>19</v>
      </c>
      <c r="N145" s="20"/>
    </row>
    <row r="146" spans="1:14" s="10" customFormat="1" ht="33" customHeight="1">
      <c r="A146" s="11">
        <v>143</v>
      </c>
      <c r="B146" s="7" t="str">
        <f>"夏洪静"</f>
        <v>夏洪静</v>
      </c>
      <c r="C146" s="7" t="str">
        <f>"女        "</f>
        <v xml:space="preserve">女        </v>
      </c>
      <c r="D146" s="7" t="str">
        <f>"汉族"</f>
        <v>汉族</v>
      </c>
      <c r="E146" s="7" t="str">
        <f>"522128199212195521"</f>
        <v>522128199212195521</v>
      </c>
      <c r="F146" s="7" t="str">
        <f>"18188221129"</f>
        <v>18188221129</v>
      </c>
      <c r="G146" s="7" t="str">
        <f>"贵州省遵义市湄潭县天城乡德荣村"</f>
        <v>贵州省遵义市湄潭县天城乡德荣村</v>
      </c>
      <c r="H146" s="7" t="str">
        <f t="shared" si="12"/>
        <v>初中</v>
      </c>
      <c r="I146" s="7" t="str">
        <f t="shared" si="14"/>
        <v>206:历史</v>
      </c>
      <c r="J146" s="7"/>
      <c r="K146" s="5" t="s">
        <v>19</v>
      </c>
      <c r="L146" s="16">
        <v>79.37</v>
      </c>
      <c r="M146" s="21">
        <v>20</v>
      </c>
      <c r="N146" s="20"/>
    </row>
    <row r="147" spans="1:14" s="10" customFormat="1" ht="33" customHeight="1">
      <c r="A147" s="11">
        <v>144</v>
      </c>
      <c r="B147" s="7" t="str">
        <f>"王跃光"</f>
        <v>王跃光</v>
      </c>
      <c r="C147" s="7" t="str">
        <f>"男        "</f>
        <v xml:space="preserve">男        </v>
      </c>
      <c r="D147" s="7" t="str">
        <f>"布依族"</f>
        <v>布依族</v>
      </c>
      <c r="E147" s="7" t="str">
        <f>"52232719921129061X"</f>
        <v>52232719921129061X</v>
      </c>
      <c r="F147" s="7" t="str">
        <f>"15186381649"</f>
        <v>15186381649</v>
      </c>
      <c r="G147" s="7" t="str">
        <f>"贵州省册亨县威旁乡"</f>
        <v>贵州省册亨县威旁乡</v>
      </c>
      <c r="H147" s="7" t="str">
        <f t="shared" si="12"/>
        <v>初中</v>
      </c>
      <c r="I147" s="7" t="str">
        <f t="shared" si="14"/>
        <v>206:历史</v>
      </c>
      <c r="J147" s="7"/>
      <c r="K147" s="5" t="s">
        <v>19</v>
      </c>
      <c r="L147" s="16" t="s">
        <v>45</v>
      </c>
      <c r="M147" s="21">
        <v>21</v>
      </c>
      <c r="N147" s="20"/>
    </row>
    <row r="148" spans="1:14" s="10" customFormat="1" ht="33" customHeight="1">
      <c r="A148" s="11">
        <v>145</v>
      </c>
      <c r="B148" s="11" t="str">
        <f>"雷树奇"</f>
        <v>雷树奇</v>
      </c>
      <c r="C148" s="11" t="str">
        <f>"男        "</f>
        <v xml:space="preserve">男        </v>
      </c>
      <c r="D148" s="11" t="str">
        <f>"汉族"</f>
        <v>汉族</v>
      </c>
      <c r="E148" s="11" t="str">
        <f>"452631199206061751"</f>
        <v>452631199206061751</v>
      </c>
      <c r="F148" s="11" t="str">
        <f>"15777243692"</f>
        <v>15777243692</v>
      </c>
      <c r="G148" s="11" t="str">
        <f>"广西百色市隆林县者保乡巴内存上过河屯"</f>
        <v>广西百色市隆林县者保乡巴内存上过河屯</v>
      </c>
      <c r="H148" s="11" t="str">
        <f t="shared" si="12"/>
        <v>初中</v>
      </c>
      <c r="I148" s="11" t="str">
        <f t="shared" ref="I148:I154" si="15">"216:信息技术"</f>
        <v>216:信息技术</v>
      </c>
      <c r="J148" s="19"/>
      <c r="K148" s="13" t="s">
        <v>33</v>
      </c>
      <c r="L148" s="22">
        <v>87.2</v>
      </c>
      <c r="M148" s="28">
        <v>1</v>
      </c>
      <c r="N148" s="20" t="s">
        <v>46</v>
      </c>
    </row>
    <row r="149" spans="1:14" s="10" customFormat="1" ht="33" customHeight="1">
      <c r="A149" s="11">
        <v>146</v>
      </c>
      <c r="B149" s="11" t="str">
        <f>"陈娜"</f>
        <v>陈娜</v>
      </c>
      <c r="C149" s="11" t="str">
        <f>"女        "</f>
        <v xml:space="preserve">女        </v>
      </c>
      <c r="D149" s="11" t="str">
        <f>"苗族"</f>
        <v>苗族</v>
      </c>
      <c r="E149" s="11" t="str">
        <f>"452631199407203648"</f>
        <v>452631199407203648</v>
      </c>
      <c r="F149" s="11" t="str">
        <f>"18276287511"</f>
        <v>18276287511</v>
      </c>
      <c r="G149" s="11" t="str">
        <f>"广西百色市隆林各族自治县猪场乡那伟村龙保山社06号"</f>
        <v>广西百色市隆林各族自治县猪场乡那伟村龙保山社06号</v>
      </c>
      <c r="H149" s="11" t="str">
        <f t="shared" si="12"/>
        <v>初中</v>
      </c>
      <c r="I149" s="11" t="str">
        <f t="shared" si="15"/>
        <v>216:信息技术</v>
      </c>
      <c r="J149" s="19"/>
      <c r="K149" s="13" t="s">
        <v>33</v>
      </c>
      <c r="L149" s="22">
        <v>86.5</v>
      </c>
      <c r="M149" s="28">
        <v>2</v>
      </c>
      <c r="N149" s="20" t="s">
        <v>46</v>
      </c>
    </row>
    <row r="150" spans="1:14" s="10" customFormat="1" ht="33" customHeight="1">
      <c r="A150" s="11">
        <v>147</v>
      </c>
      <c r="B150" s="11" t="str">
        <f>"梁立成"</f>
        <v>梁立成</v>
      </c>
      <c r="C150" s="11" t="str">
        <f t="shared" ref="C150:C155" si="16">"男        "</f>
        <v xml:space="preserve">男        </v>
      </c>
      <c r="D150" s="11" t="str">
        <f>"壮族"</f>
        <v>壮族</v>
      </c>
      <c r="E150" s="11" t="str">
        <f>"452631199502042619"</f>
        <v>452631199502042619</v>
      </c>
      <c r="F150" s="11" t="str">
        <f>"15507734459"</f>
        <v>15507734459</v>
      </c>
      <c r="G150" s="11" t="str">
        <f>"广西隆林县新州镇新兴东巷438号"</f>
        <v>广西隆林县新州镇新兴东巷438号</v>
      </c>
      <c r="H150" s="11" t="str">
        <f t="shared" si="12"/>
        <v>初中</v>
      </c>
      <c r="I150" s="11" t="str">
        <f t="shared" si="15"/>
        <v>216:信息技术</v>
      </c>
      <c r="J150" s="19"/>
      <c r="K150" s="13" t="s">
        <v>33</v>
      </c>
      <c r="L150" s="22">
        <v>85.5</v>
      </c>
      <c r="M150" s="28">
        <v>3</v>
      </c>
      <c r="N150" s="20" t="s">
        <v>46</v>
      </c>
    </row>
    <row r="151" spans="1:14" s="10" customFormat="1" ht="33" customHeight="1">
      <c r="A151" s="11">
        <v>148</v>
      </c>
      <c r="B151" s="11" t="str">
        <f>"尹帮词"</f>
        <v>尹帮词</v>
      </c>
      <c r="C151" s="11" t="str">
        <f t="shared" si="16"/>
        <v xml:space="preserve">男        </v>
      </c>
      <c r="D151" s="11" t="str">
        <f>"汉族"</f>
        <v>汉族</v>
      </c>
      <c r="E151" s="11" t="str">
        <f>"452631199109284136"</f>
        <v>452631199109284136</v>
      </c>
      <c r="F151" s="11" t="str">
        <f>"13347665521"</f>
        <v>13347665521</v>
      </c>
      <c r="G151" s="11" t="str">
        <f>"广西百色市隆林县"</f>
        <v>广西百色市隆林县</v>
      </c>
      <c r="H151" s="11" t="str">
        <f t="shared" si="12"/>
        <v>初中</v>
      </c>
      <c r="I151" s="11" t="str">
        <f t="shared" si="15"/>
        <v>216:信息技术</v>
      </c>
      <c r="J151" s="19"/>
      <c r="K151" s="13" t="s">
        <v>33</v>
      </c>
      <c r="L151" s="22">
        <v>84.5</v>
      </c>
      <c r="M151" s="28">
        <v>4</v>
      </c>
      <c r="N151" s="20" t="s">
        <v>46</v>
      </c>
    </row>
    <row r="152" spans="1:14" s="10" customFormat="1" ht="33" customHeight="1">
      <c r="A152" s="11">
        <v>149</v>
      </c>
      <c r="B152" s="11" t="str">
        <f>"何强"</f>
        <v>何强</v>
      </c>
      <c r="C152" s="11" t="str">
        <f t="shared" si="16"/>
        <v xml:space="preserve">男        </v>
      </c>
      <c r="D152" s="11" t="str">
        <f>"壮族"</f>
        <v>壮族</v>
      </c>
      <c r="E152" s="11" t="str">
        <f>"532627199210052730"</f>
        <v>532627199210052730</v>
      </c>
      <c r="F152" s="11" t="str">
        <f>"15288020247"</f>
        <v>15288020247</v>
      </c>
      <c r="G152" s="11" t="str">
        <f>"云南省文山州广南县那洒镇长箐村委会下革乍"</f>
        <v>云南省文山州广南县那洒镇长箐村委会下革乍</v>
      </c>
      <c r="H152" s="11" t="str">
        <f t="shared" si="12"/>
        <v>初中</v>
      </c>
      <c r="I152" s="11" t="str">
        <f t="shared" si="15"/>
        <v>216:信息技术</v>
      </c>
      <c r="J152" s="19"/>
      <c r="K152" s="13" t="s">
        <v>33</v>
      </c>
      <c r="L152" s="22">
        <v>83.9</v>
      </c>
      <c r="M152" s="28">
        <v>5</v>
      </c>
      <c r="N152" s="20" t="s">
        <v>46</v>
      </c>
    </row>
    <row r="153" spans="1:14" s="10" customFormat="1" ht="33" customHeight="1">
      <c r="A153" s="11">
        <v>150</v>
      </c>
      <c r="B153" s="11" t="str">
        <f>"罗又铭"</f>
        <v>罗又铭</v>
      </c>
      <c r="C153" s="11" t="str">
        <f t="shared" si="16"/>
        <v xml:space="preserve">男        </v>
      </c>
      <c r="D153" s="11" t="str">
        <f>"汉族"</f>
        <v>汉族</v>
      </c>
      <c r="E153" s="11" t="str">
        <f>"452631199103181777"</f>
        <v>452631199103181777</v>
      </c>
      <c r="F153" s="11" t="str">
        <f>"18172391104"</f>
        <v>18172391104</v>
      </c>
      <c r="G153" s="11" t="str">
        <f>"广西省南宁市兴宁区望州南路望州南小区11栋1单元402"</f>
        <v>广西省南宁市兴宁区望州南路望州南小区11栋1单元402</v>
      </c>
      <c r="H153" s="11" t="str">
        <f t="shared" si="12"/>
        <v>初中</v>
      </c>
      <c r="I153" s="11" t="str">
        <f t="shared" si="15"/>
        <v>216:信息技术</v>
      </c>
      <c r="J153" s="19"/>
      <c r="K153" s="13" t="s">
        <v>33</v>
      </c>
      <c r="L153" s="22">
        <v>79.599999999999994</v>
      </c>
      <c r="M153" s="21">
        <v>6</v>
      </c>
      <c r="N153" s="20"/>
    </row>
    <row r="154" spans="1:14" s="10" customFormat="1" ht="33" customHeight="1">
      <c r="A154" s="11">
        <v>151</v>
      </c>
      <c r="B154" s="11" t="str">
        <f>"马春贵"</f>
        <v>马春贵</v>
      </c>
      <c r="C154" s="11" t="str">
        <f t="shared" si="16"/>
        <v xml:space="preserve">男        </v>
      </c>
      <c r="D154" s="11" t="str">
        <f>"苗族"</f>
        <v>苗族</v>
      </c>
      <c r="E154" s="11" t="str">
        <f>"532625199302252710"</f>
        <v>532625199302252710</v>
      </c>
      <c r="F154" s="11" t="str">
        <f>"15687688893"</f>
        <v>15687688893</v>
      </c>
      <c r="G154" s="11" t="str">
        <f>"云南省文山壮族苗族自治州州马关县小坝子镇半坡村委会"</f>
        <v>云南省文山壮族苗族自治州州马关县小坝子镇半坡村委会</v>
      </c>
      <c r="H154" s="11" t="str">
        <f t="shared" si="12"/>
        <v>初中</v>
      </c>
      <c r="I154" s="11" t="str">
        <f t="shared" si="15"/>
        <v>216:信息技术</v>
      </c>
      <c r="J154" s="19"/>
      <c r="K154" s="13" t="s">
        <v>33</v>
      </c>
      <c r="L154" s="24" t="s">
        <v>45</v>
      </c>
      <c r="M154" s="21">
        <v>7</v>
      </c>
      <c r="N154" s="20"/>
    </row>
    <row r="155" spans="1:14" s="10" customFormat="1" ht="33" customHeight="1">
      <c r="A155" s="11">
        <v>152</v>
      </c>
      <c r="B155" s="11" t="str">
        <f>"黄益祥"</f>
        <v>黄益祥</v>
      </c>
      <c r="C155" s="11" t="str">
        <f t="shared" si="16"/>
        <v xml:space="preserve">男        </v>
      </c>
      <c r="D155" s="11" t="str">
        <f>"壮族"</f>
        <v>壮族</v>
      </c>
      <c r="E155" s="11" t="str">
        <f>"452631199604082072"</f>
        <v>452631199604082072</v>
      </c>
      <c r="F155" s="11" t="str">
        <f>"18376666179"</f>
        <v>18376666179</v>
      </c>
      <c r="G155" s="11" t="str">
        <f>"广西壮族自治区隆林各种自治县者浪乡坡合村弄王屯上队"</f>
        <v>广西壮族自治区隆林各种自治县者浪乡坡合村弄王屯上队</v>
      </c>
      <c r="H155" s="11" t="str">
        <f t="shared" ref="H155:H167" si="17">"小学"</f>
        <v>小学</v>
      </c>
      <c r="I155" s="11" t="str">
        <f t="shared" ref="I155:I167" si="18">"110:信息技术"</f>
        <v>110:信息技术</v>
      </c>
      <c r="J155" s="19"/>
      <c r="K155" s="13" t="s">
        <v>33</v>
      </c>
      <c r="L155" s="22">
        <v>88.5</v>
      </c>
      <c r="M155" s="28">
        <v>1</v>
      </c>
      <c r="N155" s="20" t="s">
        <v>46</v>
      </c>
    </row>
    <row r="156" spans="1:14" s="10" customFormat="1" ht="33" customHeight="1">
      <c r="A156" s="11">
        <v>153</v>
      </c>
      <c r="B156" s="11" t="str">
        <f>"李正燕"</f>
        <v>李正燕</v>
      </c>
      <c r="C156" s="11" t="str">
        <f>"女        "</f>
        <v xml:space="preserve">女        </v>
      </c>
      <c r="D156" s="11" t="str">
        <f>"汉族"</f>
        <v>汉族</v>
      </c>
      <c r="E156" s="11" t="str">
        <f>"530324199212291148"</f>
        <v>530324199212291148</v>
      </c>
      <c r="F156" s="11" t="str">
        <f>"18213104847"</f>
        <v>18213104847</v>
      </c>
      <c r="G156" s="11" t="str">
        <f>"云南省曲靖市罗平县蟠龙兰庭"</f>
        <v>云南省曲靖市罗平县蟠龙兰庭</v>
      </c>
      <c r="H156" s="11" t="str">
        <f t="shared" si="17"/>
        <v>小学</v>
      </c>
      <c r="I156" s="11" t="str">
        <f t="shared" si="18"/>
        <v>110:信息技术</v>
      </c>
      <c r="J156" s="19"/>
      <c r="K156" s="13" t="s">
        <v>33</v>
      </c>
      <c r="L156" s="22">
        <v>88.3</v>
      </c>
      <c r="M156" s="28">
        <v>2</v>
      </c>
      <c r="N156" s="20" t="s">
        <v>46</v>
      </c>
    </row>
    <row r="157" spans="1:14" s="10" customFormat="1" ht="33" customHeight="1">
      <c r="A157" s="11">
        <v>154</v>
      </c>
      <c r="B157" s="11" t="str">
        <f>"罗牢琳"</f>
        <v>罗牢琳</v>
      </c>
      <c r="C157" s="11" t="str">
        <f>"女        "</f>
        <v xml:space="preserve">女        </v>
      </c>
      <c r="D157" s="11" t="str">
        <f>"苗族"</f>
        <v>苗族</v>
      </c>
      <c r="E157" s="11" t="str">
        <f>"45263119950503338X"</f>
        <v>45263119950503338X</v>
      </c>
      <c r="F157" s="11" t="str">
        <f>"15677638859"</f>
        <v>15677638859</v>
      </c>
      <c r="G157" s="11" t="str">
        <f>"广西百色市隆林县德峨镇水井村龙吓屯"</f>
        <v>广西百色市隆林县德峨镇水井村龙吓屯</v>
      </c>
      <c r="H157" s="11" t="str">
        <f t="shared" si="17"/>
        <v>小学</v>
      </c>
      <c r="I157" s="11" t="str">
        <f t="shared" si="18"/>
        <v>110:信息技术</v>
      </c>
      <c r="J157" s="19"/>
      <c r="K157" s="13" t="s">
        <v>33</v>
      </c>
      <c r="L157" s="22">
        <v>86.68</v>
      </c>
      <c r="M157" s="28">
        <v>3</v>
      </c>
      <c r="N157" s="20" t="s">
        <v>46</v>
      </c>
    </row>
    <row r="158" spans="1:14" s="10" customFormat="1" ht="33" customHeight="1">
      <c r="A158" s="11">
        <v>155</v>
      </c>
      <c r="B158" s="11" t="str">
        <f>"满所建"</f>
        <v>满所建</v>
      </c>
      <c r="C158" s="11" t="str">
        <f>"男        "</f>
        <v xml:space="preserve">男        </v>
      </c>
      <c r="D158" s="11" t="str">
        <f>"汉族"</f>
        <v>汉族</v>
      </c>
      <c r="E158" s="11" t="str">
        <f>"530322199505281338"</f>
        <v>530322199505281338</v>
      </c>
      <c r="F158" s="11" t="str">
        <f>"18848739283"</f>
        <v>18848739283</v>
      </c>
      <c r="G158" s="11" t="str">
        <f>"云南省曲靖市陆良县龙海乡大新村村委会刘家窝棚村"</f>
        <v>云南省曲靖市陆良县龙海乡大新村村委会刘家窝棚村</v>
      </c>
      <c r="H158" s="11" t="str">
        <f t="shared" si="17"/>
        <v>小学</v>
      </c>
      <c r="I158" s="11" t="str">
        <f t="shared" si="18"/>
        <v>110:信息技术</v>
      </c>
      <c r="J158" s="19"/>
      <c r="K158" s="13" t="s">
        <v>33</v>
      </c>
      <c r="L158" s="22">
        <v>85.06</v>
      </c>
      <c r="M158" s="28">
        <v>4</v>
      </c>
      <c r="N158" s="20" t="s">
        <v>46</v>
      </c>
    </row>
    <row r="159" spans="1:14" s="10" customFormat="1" ht="33" customHeight="1">
      <c r="A159" s="11">
        <v>156</v>
      </c>
      <c r="B159" s="11" t="str">
        <f>"罗永全"</f>
        <v>罗永全</v>
      </c>
      <c r="C159" s="11" t="str">
        <f>"男        "</f>
        <v xml:space="preserve">男        </v>
      </c>
      <c r="D159" s="11" t="str">
        <f>"苗族"</f>
        <v>苗族</v>
      </c>
      <c r="E159" s="11" t="str">
        <f>"452631199605083632"</f>
        <v>452631199605083632</v>
      </c>
      <c r="F159" s="11" t="str">
        <f>"18078647647"</f>
        <v>18078647647</v>
      </c>
      <c r="G159" s="11" t="str">
        <f>"广西百色市隆林县猪场乡会卜社"</f>
        <v>广西百色市隆林县猪场乡会卜社</v>
      </c>
      <c r="H159" s="11" t="str">
        <f t="shared" si="17"/>
        <v>小学</v>
      </c>
      <c r="I159" s="11" t="str">
        <f t="shared" si="18"/>
        <v>110:信息技术</v>
      </c>
      <c r="J159" s="19"/>
      <c r="K159" s="13" t="s">
        <v>33</v>
      </c>
      <c r="L159" s="22">
        <v>84.8</v>
      </c>
      <c r="M159" s="28">
        <v>5</v>
      </c>
      <c r="N159" s="20" t="s">
        <v>46</v>
      </c>
    </row>
    <row r="160" spans="1:14" s="10" customFormat="1" ht="33" customHeight="1">
      <c r="A160" s="11">
        <v>157</v>
      </c>
      <c r="B160" s="11" t="str">
        <f>"何美慧"</f>
        <v>何美慧</v>
      </c>
      <c r="C160" s="11" t="str">
        <f>"女        "</f>
        <v xml:space="preserve">女        </v>
      </c>
      <c r="D160" s="11" t="str">
        <f>"壮族"</f>
        <v>壮族</v>
      </c>
      <c r="E160" s="11" t="str">
        <f>"452632199604161623"</f>
        <v>452632199604161623</v>
      </c>
      <c r="F160" s="11" t="str">
        <f>"18007869692"</f>
        <v>18007869692</v>
      </c>
      <c r="G160" s="11" t="str">
        <f>"广西百色市西林县福宁佳苑e区11栋"</f>
        <v>广西百色市西林县福宁佳苑e区11栋</v>
      </c>
      <c r="H160" s="11" t="str">
        <f t="shared" si="17"/>
        <v>小学</v>
      </c>
      <c r="I160" s="11" t="str">
        <f t="shared" si="18"/>
        <v>110:信息技术</v>
      </c>
      <c r="J160" s="19"/>
      <c r="K160" s="13" t="s">
        <v>33</v>
      </c>
      <c r="L160" s="22">
        <v>84.12</v>
      </c>
      <c r="M160" s="21">
        <v>6</v>
      </c>
      <c r="N160" s="20"/>
    </row>
    <row r="161" spans="1:14" s="10" customFormat="1" ht="33" customHeight="1">
      <c r="A161" s="11">
        <v>158</v>
      </c>
      <c r="B161" s="11" t="str">
        <f>"李太艳"</f>
        <v>李太艳</v>
      </c>
      <c r="C161" s="11" t="str">
        <f>"女        "</f>
        <v xml:space="preserve">女        </v>
      </c>
      <c r="D161" s="11" t="str">
        <f>"壮族"</f>
        <v>壮族</v>
      </c>
      <c r="E161" s="11" t="str">
        <f>"532627199210220343"</f>
        <v>532627199210220343</v>
      </c>
      <c r="F161" s="11" t="str">
        <f>"15912313281"</f>
        <v>15912313281</v>
      </c>
      <c r="G161" s="11" t="str">
        <f>"云南省文山州广南县莲城镇小广南村14小组"</f>
        <v>云南省文山州广南县莲城镇小广南村14小组</v>
      </c>
      <c r="H161" s="11" t="str">
        <f t="shared" si="17"/>
        <v>小学</v>
      </c>
      <c r="I161" s="11" t="str">
        <f t="shared" si="18"/>
        <v>110:信息技术</v>
      </c>
      <c r="J161" s="19"/>
      <c r="K161" s="13" t="s">
        <v>33</v>
      </c>
      <c r="L161" s="22">
        <v>83.6</v>
      </c>
      <c r="M161" s="21">
        <v>7</v>
      </c>
      <c r="N161" s="20"/>
    </row>
    <row r="162" spans="1:14" s="10" customFormat="1" ht="33" customHeight="1">
      <c r="A162" s="11">
        <v>159</v>
      </c>
      <c r="B162" s="11" t="str">
        <f>"刘林丽"</f>
        <v>刘林丽</v>
      </c>
      <c r="C162" s="11" t="str">
        <f>"女        "</f>
        <v xml:space="preserve">女        </v>
      </c>
      <c r="D162" s="11" t="str">
        <f>"汉族"</f>
        <v>汉族</v>
      </c>
      <c r="E162" s="11" t="str">
        <f>"530322199105062662"</f>
        <v>530322199105062662</v>
      </c>
      <c r="F162" s="11" t="str">
        <f>"18608819396"</f>
        <v>18608819396</v>
      </c>
      <c r="G162" s="11" t="str">
        <f>"云南省曲靖市陆良县小百户镇北山村委会大庄子村166号"</f>
        <v>云南省曲靖市陆良县小百户镇北山村委会大庄子村166号</v>
      </c>
      <c r="H162" s="11" t="str">
        <f t="shared" si="17"/>
        <v>小学</v>
      </c>
      <c r="I162" s="11" t="str">
        <f t="shared" si="18"/>
        <v>110:信息技术</v>
      </c>
      <c r="J162" s="19"/>
      <c r="K162" s="13" t="s">
        <v>33</v>
      </c>
      <c r="L162" s="22">
        <v>81.8</v>
      </c>
      <c r="M162" s="21">
        <v>8</v>
      </c>
      <c r="N162" s="20"/>
    </row>
    <row r="163" spans="1:14" s="10" customFormat="1" ht="33" customHeight="1">
      <c r="A163" s="11">
        <v>160</v>
      </c>
      <c r="B163" s="11" t="str">
        <f>"王义官"</f>
        <v>王义官</v>
      </c>
      <c r="C163" s="11" t="str">
        <f>"男        "</f>
        <v xml:space="preserve">男        </v>
      </c>
      <c r="D163" s="11" t="str">
        <f>"壮族"</f>
        <v>壮族</v>
      </c>
      <c r="E163" s="11" t="str">
        <f>"452631199608091291"</f>
        <v>452631199608091291</v>
      </c>
      <c r="F163" s="11" t="str">
        <f>"15307760153"</f>
        <v>15307760153</v>
      </c>
      <c r="G163" s="11" t="str">
        <f>"广西百色市隆林县皇家花园"</f>
        <v>广西百色市隆林县皇家花园</v>
      </c>
      <c r="H163" s="11" t="str">
        <f t="shared" si="17"/>
        <v>小学</v>
      </c>
      <c r="I163" s="11" t="str">
        <f t="shared" si="18"/>
        <v>110:信息技术</v>
      </c>
      <c r="J163" s="19"/>
      <c r="K163" s="13" t="s">
        <v>33</v>
      </c>
      <c r="L163" s="22">
        <v>79.84</v>
      </c>
      <c r="M163" s="21">
        <v>9</v>
      </c>
      <c r="N163" s="20"/>
    </row>
    <row r="164" spans="1:14" s="10" customFormat="1" ht="33" customHeight="1">
      <c r="A164" s="11">
        <v>161</v>
      </c>
      <c r="B164" s="11" t="str">
        <f>"殷晓曦"</f>
        <v>殷晓曦</v>
      </c>
      <c r="C164" s="11" t="str">
        <f>"女        "</f>
        <v xml:space="preserve">女        </v>
      </c>
      <c r="D164" s="11" t="str">
        <f>"汉族"</f>
        <v>汉族</v>
      </c>
      <c r="E164" s="11" t="str">
        <f>"53262719950601002X"</f>
        <v>53262719950601002X</v>
      </c>
      <c r="F164" s="11" t="str">
        <f>"18987647508"</f>
        <v>18987647508</v>
      </c>
      <c r="G164" s="11" t="str">
        <f>"云南省文山州广南县"</f>
        <v>云南省文山州广南县</v>
      </c>
      <c r="H164" s="11" t="str">
        <f t="shared" si="17"/>
        <v>小学</v>
      </c>
      <c r="I164" s="11" t="str">
        <f t="shared" si="18"/>
        <v>110:信息技术</v>
      </c>
      <c r="J164" s="19"/>
      <c r="K164" s="13" t="s">
        <v>33</v>
      </c>
      <c r="L164" s="22">
        <v>76.3</v>
      </c>
      <c r="M164" s="21">
        <v>10</v>
      </c>
      <c r="N164" s="20"/>
    </row>
    <row r="165" spans="1:14" s="10" customFormat="1" ht="33" customHeight="1">
      <c r="A165" s="11">
        <v>162</v>
      </c>
      <c r="B165" s="11" t="str">
        <f>"王梅"</f>
        <v>王梅</v>
      </c>
      <c r="C165" s="11" t="str">
        <f>"女        "</f>
        <v xml:space="preserve">女        </v>
      </c>
      <c r="D165" s="11" t="str">
        <f>"土家族"</f>
        <v>土家族</v>
      </c>
      <c r="E165" s="11" t="str">
        <f>"422826199409015581"</f>
        <v>422826199409015581</v>
      </c>
      <c r="F165" s="11" t="str">
        <f>"15978079608"</f>
        <v>15978079608</v>
      </c>
      <c r="G165" s="11" t="str">
        <f>"广西壮族自治区百色市隆林各族自治县"</f>
        <v>广西壮族自治区百色市隆林各族自治县</v>
      </c>
      <c r="H165" s="11" t="str">
        <f t="shared" si="17"/>
        <v>小学</v>
      </c>
      <c r="I165" s="11" t="str">
        <f t="shared" si="18"/>
        <v>110:信息技术</v>
      </c>
      <c r="J165" s="19"/>
      <c r="K165" s="13" t="s">
        <v>33</v>
      </c>
      <c r="L165" s="22">
        <v>75.400000000000006</v>
      </c>
      <c r="M165" s="21">
        <v>11</v>
      </c>
      <c r="N165" s="20"/>
    </row>
    <row r="166" spans="1:14" s="10" customFormat="1" ht="33" customHeight="1">
      <c r="A166" s="11">
        <v>163</v>
      </c>
      <c r="B166" s="11" t="str">
        <f>"何权"</f>
        <v>何权</v>
      </c>
      <c r="C166" s="11" t="str">
        <f>"女        "</f>
        <v xml:space="preserve">女        </v>
      </c>
      <c r="D166" s="11" t="str">
        <f>"汉族"</f>
        <v>汉族</v>
      </c>
      <c r="E166" s="11" t="str">
        <f>"530325199304291520"</f>
        <v>530325199304291520</v>
      </c>
      <c r="F166" s="11" t="str">
        <f>"18083450105"</f>
        <v>18083450105</v>
      </c>
      <c r="G166" s="11" t="str">
        <f>"贵州省兴义市鲁屯镇七一村"</f>
        <v>贵州省兴义市鲁屯镇七一村</v>
      </c>
      <c r="H166" s="11" t="str">
        <f t="shared" si="17"/>
        <v>小学</v>
      </c>
      <c r="I166" s="11" t="str">
        <f t="shared" si="18"/>
        <v>110:信息技术</v>
      </c>
      <c r="J166" s="19"/>
      <c r="K166" s="13" t="s">
        <v>33</v>
      </c>
      <c r="L166" s="24" t="s">
        <v>45</v>
      </c>
      <c r="M166" s="21">
        <v>12</v>
      </c>
      <c r="N166" s="20"/>
    </row>
    <row r="167" spans="1:14" s="10" customFormat="1" ht="33" customHeight="1">
      <c r="A167" s="11">
        <v>164</v>
      </c>
      <c r="B167" s="11" t="str">
        <f>"李俊兵"</f>
        <v>李俊兵</v>
      </c>
      <c r="C167" s="11" t="str">
        <f>"男        "</f>
        <v xml:space="preserve">男        </v>
      </c>
      <c r="D167" s="11" t="str">
        <f>"彝族"</f>
        <v>彝族</v>
      </c>
      <c r="E167" s="11" t="str">
        <f>"532502199407122410"</f>
        <v>532502199407122410</v>
      </c>
      <c r="F167" s="11" t="str">
        <f>"15287438634"</f>
        <v>15287438634</v>
      </c>
      <c r="G167" s="11" t="str">
        <f>"云南省红河州开远市碑格乡白西龙村47号"</f>
        <v>云南省红河州开远市碑格乡白西龙村47号</v>
      </c>
      <c r="H167" s="11" t="str">
        <f t="shared" si="17"/>
        <v>小学</v>
      </c>
      <c r="I167" s="11" t="str">
        <f t="shared" si="18"/>
        <v>110:信息技术</v>
      </c>
      <c r="J167" s="19"/>
      <c r="K167" s="13" t="s">
        <v>33</v>
      </c>
      <c r="L167" s="24" t="s">
        <v>45</v>
      </c>
      <c r="M167" s="21">
        <v>13</v>
      </c>
      <c r="N167" s="20"/>
    </row>
    <row r="168" spans="1:14" s="10" customFormat="1" ht="33" customHeight="1">
      <c r="A168" s="11">
        <v>165</v>
      </c>
      <c r="B168" s="11" t="str">
        <f>"刘利波"</f>
        <v>刘利波</v>
      </c>
      <c r="C168" s="11" t="str">
        <f>"男        "</f>
        <v xml:space="preserve">男        </v>
      </c>
      <c r="D168" s="11" t="str">
        <f>"汉族"</f>
        <v>汉族</v>
      </c>
      <c r="E168" s="11" t="str">
        <f>"530324199405251716"</f>
        <v>530324199405251716</v>
      </c>
      <c r="F168" s="11" t="str">
        <f>"15287952913"</f>
        <v>15287952913</v>
      </c>
      <c r="G168" s="11" t="str">
        <f>"云南省曲靖市罗平县马街镇戈背村委会戈背村233号"</f>
        <v>云南省曲靖市罗平县马街镇戈背村委会戈背村233号</v>
      </c>
      <c r="H168" s="11" t="str">
        <f t="shared" ref="H168:H178" si="19">"初中"</f>
        <v>初中</v>
      </c>
      <c r="I168" s="11" t="str">
        <f t="shared" ref="I168:I178" si="20">"213:音乐"</f>
        <v>213:音乐</v>
      </c>
      <c r="J168" s="19"/>
      <c r="K168" s="13" t="s">
        <v>34</v>
      </c>
      <c r="L168" s="22">
        <v>87.54</v>
      </c>
      <c r="M168" s="28">
        <v>1</v>
      </c>
      <c r="N168" s="20" t="s">
        <v>46</v>
      </c>
    </row>
    <row r="169" spans="1:14" s="10" customFormat="1" ht="33" customHeight="1">
      <c r="A169" s="11">
        <v>166</v>
      </c>
      <c r="B169" s="11" t="str">
        <f>"罗磨"</f>
        <v>罗磨</v>
      </c>
      <c r="C169" s="11" t="str">
        <f>"女        "</f>
        <v xml:space="preserve">女        </v>
      </c>
      <c r="D169" s="11" t="str">
        <f>"布依族"</f>
        <v>布依族</v>
      </c>
      <c r="E169" s="11" t="str">
        <f>"522728199304083685"</f>
        <v>522728199304083685</v>
      </c>
      <c r="F169" s="11" t="str">
        <f>"18785925275"</f>
        <v>18785925275</v>
      </c>
      <c r="G169" s="11" t="str">
        <f>""</f>
        <v/>
      </c>
      <c r="H169" s="11" t="str">
        <f t="shared" si="19"/>
        <v>初中</v>
      </c>
      <c r="I169" s="11" t="str">
        <f t="shared" si="20"/>
        <v>213:音乐</v>
      </c>
      <c r="J169" s="19"/>
      <c r="K169" s="13" t="s">
        <v>34</v>
      </c>
      <c r="L169" s="22">
        <v>86.92</v>
      </c>
      <c r="M169" s="28">
        <v>2</v>
      </c>
      <c r="N169" s="20" t="s">
        <v>46</v>
      </c>
    </row>
    <row r="170" spans="1:14" s="10" customFormat="1" ht="33" customHeight="1">
      <c r="A170" s="11">
        <v>167</v>
      </c>
      <c r="B170" s="11" t="str">
        <f>"杨永桃"</f>
        <v>杨永桃</v>
      </c>
      <c r="C170" s="11" t="str">
        <f>"女        "</f>
        <v xml:space="preserve">女        </v>
      </c>
      <c r="D170" s="11" t="str">
        <f>"其他"</f>
        <v>其他</v>
      </c>
      <c r="E170" s="11" t="str">
        <f>"522426199402235321"</f>
        <v>522426199402235321</v>
      </c>
      <c r="F170" s="11" t="str">
        <f>"15086334161"</f>
        <v>15086334161</v>
      </c>
      <c r="G170" s="11" t="str">
        <f>"贵州省纳雍县董地乡青山村杨家寨组"</f>
        <v>贵州省纳雍县董地乡青山村杨家寨组</v>
      </c>
      <c r="H170" s="11" t="str">
        <f t="shared" si="19"/>
        <v>初中</v>
      </c>
      <c r="I170" s="11" t="str">
        <f t="shared" si="20"/>
        <v>213:音乐</v>
      </c>
      <c r="J170" s="19"/>
      <c r="K170" s="13" t="s">
        <v>34</v>
      </c>
      <c r="L170" s="22">
        <v>83.8</v>
      </c>
      <c r="M170" s="28">
        <v>3</v>
      </c>
      <c r="N170" s="20" t="s">
        <v>46</v>
      </c>
    </row>
    <row r="171" spans="1:14" s="10" customFormat="1" ht="33" customHeight="1">
      <c r="A171" s="11">
        <v>168</v>
      </c>
      <c r="B171" s="11" t="str">
        <f>"吴永贤"</f>
        <v>吴永贤</v>
      </c>
      <c r="C171" s="11" t="str">
        <f>"男        "</f>
        <v xml:space="preserve">男        </v>
      </c>
      <c r="D171" s="11" t="str">
        <f>"苗族"</f>
        <v>苗族</v>
      </c>
      <c r="E171" s="11" t="str">
        <f>"522328199211273234"</f>
        <v>522328199211273234</v>
      </c>
      <c r="F171" s="11" t="str">
        <f>"15186510252"</f>
        <v>15186510252</v>
      </c>
      <c r="G171" s="11" t="str">
        <f>"贵州省安龙县龙山镇纳林村纳林组"</f>
        <v>贵州省安龙县龙山镇纳林村纳林组</v>
      </c>
      <c r="H171" s="11" t="str">
        <f t="shared" si="19"/>
        <v>初中</v>
      </c>
      <c r="I171" s="11" t="str">
        <f t="shared" si="20"/>
        <v>213:音乐</v>
      </c>
      <c r="J171" s="19"/>
      <c r="K171" s="13" t="s">
        <v>34</v>
      </c>
      <c r="L171" s="22">
        <v>79.8</v>
      </c>
      <c r="M171" s="28">
        <v>4</v>
      </c>
      <c r="N171" s="20" t="s">
        <v>46</v>
      </c>
    </row>
    <row r="172" spans="1:14" s="10" customFormat="1" ht="33" customHeight="1">
      <c r="A172" s="11">
        <v>169</v>
      </c>
      <c r="B172" s="11" t="str">
        <f>"席志"</f>
        <v>席志</v>
      </c>
      <c r="C172" s="11" t="str">
        <f>"男        "</f>
        <v xml:space="preserve">男        </v>
      </c>
      <c r="D172" s="11" t="str">
        <f>"汉族"</f>
        <v>汉族</v>
      </c>
      <c r="E172" s="11" t="str">
        <f>"522324199307060019"</f>
        <v>522324199307060019</v>
      </c>
      <c r="F172" s="11" t="str">
        <f>"15985394891"</f>
        <v>15985394891</v>
      </c>
      <c r="G172" s="11" t="str">
        <f>"贵州省黔西南州晴隆县"</f>
        <v>贵州省黔西南州晴隆县</v>
      </c>
      <c r="H172" s="11" t="str">
        <f t="shared" si="19"/>
        <v>初中</v>
      </c>
      <c r="I172" s="11" t="str">
        <f t="shared" si="20"/>
        <v>213:音乐</v>
      </c>
      <c r="J172" s="19"/>
      <c r="K172" s="13" t="s">
        <v>34</v>
      </c>
      <c r="L172" s="22">
        <v>79</v>
      </c>
      <c r="M172" s="28">
        <v>5</v>
      </c>
      <c r="N172" s="20" t="s">
        <v>46</v>
      </c>
    </row>
    <row r="173" spans="1:14" s="10" customFormat="1" ht="33" customHeight="1">
      <c r="A173" s="11">
        <v>170</v>
      </c>
      <c r="B173" s="11" t="str">
        <f>"黄显忠"</f>
        <v>黄显忠</v>
      </c>
      <c r="C173" s="11" t="str">
        <f>"男        "</f>
        <v xml:space="preserve">男        </v>
      </c>
      <c r="D173" s="11" t="str">
        <f>"苗族"</f>
        <v>苗族</v>
      </c>
      <c r="E173" s="11" t="str">
        <f>"52232619941020321X"</f>
        <v>52232619941020321X</v>
      </c>
      <c r="F173" s="11" t="str">
        <f>"13648568570"</f>
        <v>13648568570</v>
      </c>
      <c r="G173" s="11" t="str">
        <f>"贵州省望谟县麻山乡和平村三组"</f>
        <v>贵州省望谟县麻山乡和平村三组</v>
      </c>
      <c r="H173" s="11" t="str">
        <f t="shared" si="19"/>
        <v>初中</v>
      </c>
      <c r="I173" s="11" t="str">
        <f t="shared" si="20"/>
        <v>213:音乐</v>
      </c>
      <c r="J173" s="19"/>
      <c r="K173" s="13" t="s">
        <v>34</v>
      </c>
      <c r="L173" s="22">
        <v>78</v>
      </c>
      <c r="M173" s="21">
        <v>6</v>
      </c>
      <c r="N173" s="20"/>
    </row>
    <row r="174" spans="1:14" s="10" customFormat="1" ht="33" customHeight="1">
      <c r="A174" s="11">
        <v>171</v>
      </c>
      <c r="B174" s="11" t="str">
        <f>"岑兴兰"</f>
        <v>岑兴兰</v>
      </c>
      <c r="C174" s="11" t="str">
        <f>"女        "</f>
        <v xml:space="preserve">女        </v>
      </c>
      <c r="D174" s="11" t="str">
        <f>"布依族"</f>
        <v>布依族</v>
      </c>
      <c r="E174" s="11" t="str">
        <f>"522323199406179123"</f>
        <v>522323199406179123</v>
      </c>
      <c r="F174" s="11" t="str">
        <f>"18281963600"</f>
        <v>18281963600</v>
      </c>
      <c r="G174" s="11" t="str">
        <f>"贵州省黔西南州普安县白沙乡"</f>
        <v>贵州省黔西南州普安县白沙乡</v>
      </c>
      <c r="H174" s="11" t="str">
        <f t="shared" si="19"/>
        <v>初中</v>
      </c>
      <c r="I174" s="11" t="str">
        <f t="shared" si="20"/>
        <v>213:音乐</v>
      </c>
      <c r="J174" s="19"/>
      <c r="K174" s="13" t="s">
        <v>34</v>
      </c>
      <c r="L174" s="22">
        <v>76.8</v>
      </c>
      <c r="M174" s="21">
        <v>7</v>
      </c>
      <c r="N174" s="20"/>
    </row>
    <row r="175" spans="1:14" s="10" customFormat="1" ht="33" customHeight="1">
      <c r="A175" s="11">
        <v>172</v>
      </c>
      <c r="B175" s="11" t="str">
        <f>"罗钧匀"</f>
        <v>罗钧匀</v>
      </c>
      <c r="C175" s="11" t="str">
        <f>"男        "</f>
        <v xml:space="preserve">男        </v>
      </c>
      <c r="D175" s="11" t="str">
        <f>"苗族"</f>
        <v>苗族</v>
      </c>
      <c r="E175" s="11" t="str">
        <f>"522326199407051032"</f>
        <v>522326199407051032</v>
      </c>
      <c r="F175" s="11" t="str">
        <f>"15761683934"</f>
        <v>15761683934</v>
      </c>
      <c r="G175" s="11" t="str">
        <f>"贵州省望谟县乐旺镇坡头村纳糥组"</f>
        <v>贵州省望谟县乐旺镇坡头村纳糥组</v>
      </c>
      <c r="H175" s="11" t="str">
        <f t="shared" si="19"/>
        <v>初中</v>
      </c>
      <c r="I175" s="11" t="str">
        <f t="shared" si="20"/>
        <v>213:音乐</v>
      </c>
      <c r="J175" s="19"/>
      <c r="K175" s="13" t="s">
        <v>34</v>
      </c>
      <c r="L175" s="22">
        <v>74.599999999999994</v>
      </c>
      <c r="M175" s="21">
        <v>8</v>
      </c>
      <c r="N175" s="20"/>
    </row>
    <row r="176" spans="1:14" s="10" customFormat="1" ht="33" customHeight="1">
      <c r="A176" s="11">
        <v>173</v>
      </c>
      <c r="B176" s="11" t="str">
        <f>"李霜霜"</f>
        <v>李霜霜</v>
      </c>
      <c r="C176" s="11" t="str">
        <f>"女        "</f>
        <v xml:space="preserve">女        </v>
      </c>
      <c r="D176" s="11" t="str">
        <f>"苗族"</f>
        <v>苗族</v>
      </c>
      <c r="E176" s="11" t="str">
        <f>"452632199301240025"</f>
        <v>452632199301240025</v>
      </c>
      <c r="F176" s="11" t="str">
        <f>"15777126044"</f>
        <v>15777126044</v>
      </c>
      <c r="G176" s="11" t="str">
        <f>"广西省百色市西林县花贡村"</f>
        <v>广西省百色市西林县花贡村</v>
      </c>
      <c r="H176" s="11" t="str">
        <f t="shared" si="19"/>
        <v>初中</v>
      </c>
      <c r="I176" s="11" t="str">
        <f t="shared" si="20"/>
        <v>213:音乐</v>
      </c>
      <c r="J176" s="19"/>
      <c r="K176" s="13" t="s">
        <v>34</v>
      </c>
      <c r="L176" s="22">
        <v>66</v>
      </c>
      <c r="M176" s="21">
        <v>9</v>
      </c>
      <c r="N176" s="20"/>
    </row>
    <row r="177" spans="1:14" s="10" customFormat="1" ht="33" customHeight="1">
      <c r="A177" s="11">
        <v>174</v>
      </c>
      <c r="B177" s="11" t="str">
        <f>"袁仁银"</f>
        <v>袁仁银</v>
      </c>
      <c r="C177" s="11" t="str">
        <f>"男        "</f>
        <v xml:space="preserve">男        </v>
      </c>
      <c r="D177" s="11" t="str">
        <f>"汉族"</f>
        <v>汉族</v>
      </c>
      <c r="E177" s="11" t="str">
        <f>"522428199201013274"</f>
        <v>522428199201013274</v>
      </c>
      <c r="F177" s="11" t="str">
        <f>"18230767738"</f>
        <v>18230767738</v>
      </c>
      <c r="G177" s="11" t="str">
        <f>""</f>
        <v/>
      </c>
      <c r="H177" s="11" t="str">
        <f t="shared" si="19"/>
        <v>初中</v>
      </c>
      <c r="I177" s="11" t="str">
        <f t="shared" si="20"/>
        <v>213:音乐</v>
      </c>
      <c r="J177" s="19"/>
      <c r="K177" s="13" t="s">
        <v>34</v>
      </c>
      <c r="L177" s="24" t="s">
        <v>45</v>
      </c>
      <c r="M177" s="21">
        <v>10</v>
      </c>
      <c r="N177" s="20"/>
    </row>
    <row r="178" spans="1:14" s="10" customFormat="1" ht="33" customHeight="1">
      <c r="A178" s="11">
        <v>175</v>
      </c>
      <c r="B178" s="11" t="str">
        <f>"郭启洪"</f>
        <v>郭启洪</v>
      </c>
      <c r="C178" s="11" t="str">
        <f>"男        "</f>
        <v xml:space="preserve">男        </v>
      </c>
      <c r="D178" s="11" t="str">
        <f>"汉族"</f>
        <v>汉族</v>
      </c>
      <c r="E178" s="11" t="str">
        <f>"522427199304121810"</f>
        <v>522427199304121810</v>
      </c>
      <c r="F178" s="11" t="str">
        <f>"15117644100"</f>
        <v>15117644100</v>
      </c>
      <c r="G178" s="11" t="str">
        <f>"贵州省威宁县牛棚镇发红村丫口组"</f>
        <v>贵州省威宁县牛棚镇发红村丫口组</v>
      </c>
      <c r="H178" s="11" t="str">
        <f t="shared" si="19"/>
        <v>初中</v>
      </c>
      <c r="I178" s="11" t="str">
        <f t="shared" si="20"/>
        <v>213:音乐</v>
      </c>
      <c r="J178" s="19"/>
      <c r="K178" s="13" t="s">
        <v>34</v>
      </c>
      <c r="L178" s="24" t="s">
        <v>45</v>
      </c>
      <c r="M178" s="21">
        <v>11</v>
      </c>
      <c r="N178" s="20"/>
    </row>
    <row r="179" spans="1:14" s="10" customFormat="1" ht="33" customHeight="1">
      <c r="A179" s="11">
        <v>176</v>
      </c>
      <c r="B179" s="11" t="str">
        <f>"吴世丽"</f>
        <v>吴世丽</v>
      </c>
      <c r="C179" s="11" t="str">
        <f>"女        "</f>
        <v xml:space="preserve">女        </v>
      </c>
      <c r="D179" s="11" t="str">
        <f>"汉族"</f>
        <v>汉族</v>
      </c>
      <c r="E179" s="11" t="str">
        <f>"52232619951003162X"</f>
        <v>52232619951003162X</v>
      </c>
      <c r="F179" s="11" t="str">
        <f>"18744787332"</f>
        <v>18744787332</v>
      </c>
      <c r="G179" s="11" t="str">
        <f>"贵州省望谟县新屯镇"</f>
        <v>贵州省望谟县新屯镇</v>
      </c>
      <c r="H179" s="11" t="str">
        <f t="shared" ref="H179:H188" si="21">"小学"</f>
        <v>小学</v>
      </c>
      <c r="I179" s="11" t="str">
        <f t="shared" ref="I179:I188" si="22">"107:音乐"</f>
        <v>107:音乐</v>
      </c>
      <c r="J179" s="19"/>
      <c r="K179" s="13" t="s">
        <v>34</v>
      </c>
      <c r="L179" s="22">
        <v>84</v>
      </c>
      <c r="M179" s="28">
        <v>1</v>
      </c>
      <c r="N179" s="20" t="s">
        <v>46</v>
      </c>
    </row>
    <row r="180" spans="1:14" s="10" customFormat="1" ht="33" customHeight="1">
      <c r="A180" s="11">
        <v>177</v>
      </c>
      <c r="B180" s="11" t="str">
        <f>"吴思梅"</f>
        <v>吴思梅</v>
      </c>
      <c r="C180" s="11" t="str">
        <f>"女        "</f>
        <v xml:space="preserve">女        </v>
      </c>
      <c r="D180" s="11" t="str">
        <f>"苗族"</f>
        <v>苗族</v>
      </c>
      <c r="E180" s="11" t="str">
        <f>"452632199509031628"</f>
        <v>452632199509031628</v>
      </c>
      <c r="F180" s="11" t="str">
        <f>"18807772153"</f>
        <v>18807772153</v>
      </c>
      <c r="G180" s="11" t="str">
        <f>"广西百色市西林县普合苗族乡岩腊村四家平屯"</f>
        <v>广西百色市西林县普合苗族乡岩腊村四家平屯</v>
      </c>
      <c r="H180" s="11" t="str">
        <f t="shared" si="21"/>
        <v>小学</v>
      </c>
      <c r="I180" s="11" t="str">
        <f t="shared" si="22"/>
        <v>107:音乐</v>
      </c>
      <c r="J180" s="19"/>
      <c r="K180" s="13" t="s">
        <v>34</v>
      </c>
      <c r="L180" s="22">
        <v>82.7</v>
      </c>
      <c r="M180" s="28">
        <v>2</v>
      </c>
      <c r="N180" s="20" t="s">
        <v>46</v>
      </c>
    </row>
    <row r="181" spans="1:14" s="10" customFormat="1" ht="33" customHeight="1">
      <c r="A181" s="11">
        <v>178</v>
      </c>
      <c r="B181" s="11" t="str">
        <f>"杨曾艳"</f>
        <v>杨曾艳</v>
      </c>
      <c r="C181" s="11" t="str">
        <f>"女        "</f>
        <v xml:space="preserve">女        </v>
      </c>
      <c r="D181" s="11" t="str">
        <f>"苗族"</f>
        <v>苗族</v>
      </c>
      <c r="E181" s="11" t="str">
        <f>"522327199902151627"</f>
        <v>522327199902151627</v>
      </c>
      <c r="F181" s="11" t="str">
        <f>"18788747789"</f>
        <v>18788747789</v>
      </c>
      <c r="G181" s="11" t="str">
        <f>"贵州省册亨县丫他镇坪位村"</f>
        <v>贵州省册亨县丫他镇坪位村</v>
      </c>
      <c r="H181" s="11" t="str">
        <f t="shared" si="21"/>
        <v>小学</v>
      </c>
      <c r="I181" s="11" t="str">
        <f t="shared" si="22"/>
        <v>107:音乐</v>
      </c>
      <c r="J181" s="19"/>
      <c r="K181" s="13" t="s">
        <v>34</v>
      </c>
      <c r="L181" s="22">
        <v>82.64</v>
      </c>
      <c r="M181" s="28">
        <v>3</v>
      </c>
      <c r="N181" s="20" t="s">
        <v>46</v>
      </c>
    </row>
    <row r="182" spans="1:14" s="10" customFormat="1" ht="33" customHeight="1">
      <c r="A182" s="11">
        <v>179</v>
      </c>
      <c r="B182" s="11" t="str">
        <f>"唐霜霜"</f>
        <v>唐霜霜</v>
      </c>
      <c r="C182" s="11" t="str">
        <f>"女        "</f>
        <v xml:space="preserve">女        </v>
      </c>
      <c r="D182" s="11" t="str">
        <f>"汉族"</f>
        <v>汉族</v>
      </c>
      <c r="E182" s="11" t="str">
        <f>"522326199212031445"</f>
        <v>522326199212031445</v>
      </c>
      <c r="F182" s="11" t="str">
        <f>"18885900524"</f>
        <v>18885900524</v>
      </c>
      <c r="G182" s="11" t="str">
        <f>"贵州省望谟县打尖乡洒琴村合同二组10号"</f>
        <v>贵州省望谟县打尖乡洒琴村合同二组10号</v>
      </c>
      <c r="H182" s="11" t="str">
        <f t="shared" si="21"/>
        <v>小学</v>
      </c>
      <c r="I182" s="11" t="str">
        <f t="shared" si="22"/>
        <v>107:音乐</v>
      </c>
      <c r="J182" s="19"/>
      <c r="K182" s="13" t="s">
        <v>34</v>
      </c>
      <c r="L182" s="22">
        <v>82.34</v>
      </c>
      <c r="M182" s="28">
        <v>4</v>
      </c>
      <c r="N182" s="20" t="s">
        <v>46</v>
      </c>
    </row>
    <row r="183" spans="1:14" s="10" customFormat="1" ht="33" customHeight="1">
      <c r="A183" s="11">
        <v>180</v>
      </c>
      <c r="B183" s="11" t="str">
        <f>"王血婵"</f>
        <v>王血婵</v>
      </c>
      <c r="C183" s="11" t="str">
        <f>"女        "</f>
        <v xml:space="preserve">女        </v>
      </c>
      <c r="D183" s="11" t="str">
        <f>"布依族"</f>
        <v>布依族</v>
      </c>
      <c r="E183" s="11" t="str">
        <f>"522326198908201225"</f>
        <v>522326198908201225</v>
      </c>
      <c r="F183" s="11" t="str">
        <f>"18208645665"</f>
        <v>18208645665</v>
      </c>
      <c r="G183" s="11" t="str">
        <f>"贵州省望谟县纳夜镇打郎村"</f>
        <v>贵州省望谟县纳夜镇打郎村</v>
      </c>
      <c r="H183" s="11" t="str">
        <f t="shared" si="21"/>
        <v>小学</v>
      </c>
      <c r="I183" s="11" t="str">
        <f t="shared" si="22"/>
        <v>107:音乐</v>
      </c>
      <c r="J183" s="19"/>
      <c r="K183" s="13" t="s">
        <v>34</v>
      </c>
      <c r="L183" s="22">
        <v>82.14</v>
      </c>
      <c r="M183" s="28">
        <v>5</v>
      </c>
      <c r="N183" s="20" t="s">
        <v>46</v>
      </c>
    </row>
    <row r="184" spans="1:14" s="10" customFormat="1" ht="33" customHeight="1">
      <c r="A184" s="11">
        <v>181</v>
      </c>
      <c r="B184" s="11" t="str">
        <f>"雷发明"</f>
        <v>雷发明</v>
      </c>
      <c r="C184" s="11" t="str">
        <f>"男        "</f>
        <v xml:space="preserve">男        </v>
      </c>
      <c r="D184" s="11" t="str">
        <f>"苗族"</f>
        <v>苗族</v>
      </c>
      <c r="E184" s="11" t="str">
        <f>"522322198806100436"</f>
        <v>522322198806100436</v>
      </c>
      <c r="F184" s="11" t="str">
        <f>"15117381642"</f>
        <v>15117381642</v>
      </c>
      <c r="G184" s="11" t="str">
        <f>"贵州省兴仁县巴铃镇者纳河村"</f>
        <v>贵州省兴仁县巴铃镇者纳河村</v>
      </c>
      <c r="H184" s="11" t="str">
        <f t="shared" si="21"/>
        <v>小学</v>
      </c>
      <c r="I184" s="11" t="str">
        <f t="shared" si="22"/>
        <v>107:音乐</v>
      </c>
      <c r="J184" s="19"/>
      <c r="K184" s="13" t="s">
        <v>34</v>
      </c>
      <c r="L184" s="22">
        <v>78.3</v>
      </c>
      <c r="M184" s="21">
        <v>6</v>
      </c>
      <c r="N184" s="20"/>
    </row>
    <row r="185" spans="1:14" s="10" customFormat="1" ht="33" customHeight="1">
      <c r="A185" s="11">
        <v>182</v>
      </c>
      <c r="B185" s="11" t="str">
        <f>"何倩"</f>
        <v>何倩</v>
      </c>
      <c r="C185" s="11" t="str">
        <f>"女        "</f>
        <v xml:space="preserve">女        </v>
      </c>
      <c r="D185" s="11" t="str">
        <f>"汉族"</f>
        <v>汉族</v>
      </c>
      <c r="E185" s="11" t="str">
        <f>"522322199005011569"</f>
        <v>522322199005011569</v>
      </c>
      <c r="F185" s="11" t="str">
        <f>"15870355544"</f>
        <v>15870355544</v>
      </c>
      <c r="G185" s="11" t="str">
        <f>"贵州省兴义市田坝街31号1栋506室"</f>
        <v>贵州省兴义市田坝街31号1栋506室</v>
      </c>
      <c r="H185" s="11" t="str">
        <f t="shared" si="21"/>
        <v>小学</v>
      </c>
      <c r="I185" s="11" t="str">
        <f t="shared" si="22"/>
        <v>107:音乐</v>
      </c>
      <c r="J185" s="19"/>
      <c r="K185" s="13" t="s">
        <v>34</v>
      </c>
      <c r="L185" s="22">
        <v>77.459999999999994</v>
      </c>
      <c r="M185" s="21">
        <v>7</v>
      </c>
      <c r="N185" s="20"/>
    </row>
    <row r="186" spans="1:14" s="10" customFormat="1" ht="33" customHeight="1">
      <c r="A186" s="11">
        <v>183</v>
      </c>
      <c r="B186" s="11" t="str">
        <f>"熊一芝"</f>
        <v>熊一芝</v>
      </c>
      <c r="C186" s="11" t="str">
        <f>"男        "</f>
        <v xml:space="preserve">男        </v>
      </c>
      <c r="D186" s="11" t="str">
        <f>"苗族"</f>
        <v>苗族</v>
      </c>
      <c r="E186" s="11" t="str">
        <f>"45263219960615251X"</f>
        <v>45263219960615251X</v>
      </c>
      <c r="F186" s="11" t="str">
        <f>"15578010906"</f>
        <v>15578010906</v>
      </c>
      <c r="G186" s="11" t="str">
        <f>"广西百色市西林县那佐苗族乡上马草村平安寨屯"</f>
        <v>广西百色市西林县那佐苗族乡上马草村平安寨屯</v>
      </c>
      <c r="H186" s="11" t="str">
        <f t="shared" si="21"/>
        <v>小学</v>
      </c>
      <c r="I186" s="11" t="str">
        <f t="shared" si="22"/>
        <v>107:音乐</v>
      </c>
      <c r="J186" s="19"/>
      <c r="K186" s="13" t="s">
        <v>34</v>
      </c>
      <c r="L186" s="22">
        <v>74.739999999999995</v>
      </c>
      <c r="M186" s="21">
        <v>8</v>
      </c>
      <c r="N186" s="20"/>
    </row>
    <row r="187" spans="1:14" s="10" customFormat="1" ht="33" customHeight="1">
      <c r="A187" s="11">
        <v>184</v>
      </c>
      <c r="B187" s="11" t="str">
        <f>"刘丽容"</f>
        <v>刘丽容</v>
      </c>
      <c r="C187" s="11" t="str">
        <f>"女        "</f>
        <v xml:space="preserve">女        </v>
      </c>
      <c r="D187" s="11" t="str">
        <f>"苗族"</f>
        <v>苗族</v>
      </c>
      <c r="E187" s="11" t="str">
        <f>"522229199208073224"</f>
        <v>522229199208073224</v>
      </c>
      <c r="F187" s="11" t="str">
        <f>"19985594141"</f>
        <v>19985594141</v>
      </c>
      <c r="G187" s="11" t="str">
        <f>"贵州省安龙县钱相街道办事处钱相村塘房组"</f>
        <v>贵州省安龙县钱相街道办事处钱相村塘房组</v>
      </c>
      <c r="H187" s="11" t="str">
        <f t="shared" si="21"/>
        <v>小学</v>
      </c>
      <c r="I187" s="11" t="str">
        <f t="shared" si="22"/>
        <v>107:音乐</v>
      </c>
      <c r="J187" s="19"/>
      <c r="K187" s="13" t="s">
        <v>34</v>
      </c>
      <c r="L187" s="22">
        <v>66.2</v>
      </c>
      <c r="M187" s="21">
        <v>9</v>
      </c>
      <c r="N187" s="20"/>
    </row>
    <row r="188" spans="1:14" s="10" customFormat="1" ht="33" customHeight="1">
      <c r="A188" s="11">
        <v>185</v>
      </c>
      <c r="B188" s="11" t="str">
        <f>"蒙磊"</f>
        <v>蒙磊</v>
      </c>
      <c r="C188" s="11" t="str">
        <f>"男        "</f>
        <v xml:space="preserve">男        </v>
      </c>
      <c r="D188" s="11" t="str">
        <f>"布依族"</f>
        <v>布依族</v>
      </c>
      <c r="E188" s="11" t="str">
        <f>"522326199211251614"</f>
        <v>522326199211251614</v>
      </c>
      <c r="F188" s="11" t="str">
        <f>"15870348955"</f>
        <v>15870348955</v>
      </c>
      <c r="G188" s="11" t="str">
        <f>"贵州省望谟县新屯镇新屯村二组"</f>
        <v>贵州省望谟县新屯镇新屯村二组</v>
      </c>
      <c r="H188" s="11" t="str">
        <f t="shared" si="21"/>
        <v>小学</v>
      </c>
      <c r="I188" s="11" t="str">
        <f t="shared" si="22"/>
        <v>107:音乐</v>
      </c>
      <c r="J188" s="19"/>
      <c r="K188" s="13" t="s">
        <v>34</v>
      </c>
      <c r="L188" s="24" t="s">
        <v>45</v>
      </c>
      <c r="M188" s="21">
        <v>10</v>
      </c>
      <c r="N188" s="20"/>
    </row>
    <row r="189" spans="1:14" s="10" customFormat="1" ht="33" customHeight="1">
      <c r="A189" s="11">
        <v>186</v>
      </c>
      <c r="B189" s="11" t="str">
        <f>"叶红浪"</f>
        <v>叶红浪</v>
      </c>
      <c r="C189" s="11" t="str">
        <f t="shared" ref="C189:C198" si="23">"女        "</f>
        <v xml:space="preserve">女        </v>
      </c>
      <c r="D189" s="11" t="str">
        <f>"汉族"</f>
        <v>汉族</v>
      </c>
      <c r="E189" s="11" t="str">
        <f>"522322199308221045"</f>
        <v>522322199308221045</v>
      </c>
      <c r="F189" s="11" t="str">
        <f>"18185977334"</f>
        <v>18185977334</v>
      </c>
      <c r="G189" s="11" t="str">
        <f>"贵州省兴仁县城南街道办事处田坝村大地组"</f>
        <v>贵州省兴仁县城南街道办事处田坝村大地组</v>
      </c>
      <c r="H189" s="11" t="str">
        <f>"初中"</f>
        <v>初中</v>
      </c>
      <c r="I189" s="11" t="str">
        <f>"204:英语"</f>
        <v>204:英语</v>
      </c>
      <c r="J189" s="19"/>
      <c r="K189" s="13" t="s">
        <v>35</v>
      </c>
      <c r="L189" s="22">
        <v>80.78</v>
      </c>
      <c r="M189" s="28">
        <v>1</v>
      </c>
      <c r="N189" s="20" t="s">
        <v>46</v>
      </c>
    </row>
    <row r="190" spans="1:14" s="10" customFormat="1" ht="33" customHeight="1">
      <c r="A190" s="11">
        <v>187</v>
      </c>
      <c r="B190" s="11" t="str">
        <f>"张金花"</f>
        <v>张金花</v>
      </c>
      <c r="C190" s="11" t="str">
        <f t="shared" si="23"/>
        <v xml:space="preserve">女        </v>
      </c>
      <c r="D190" s="11" t="str">
        <f>"壮族"</f>
        <v>壮族</v>
      </c>
      <c r="E190" s="11" t="str">
        <f>"532622199312200982"</f>
        <v>532622199312200982</v>
      </c>
      <c r="F190" s="11" t="str">
        <f>"18869040073"</f>
        <v>18869040073</v>
      </c>
      <c r="G190" s="11" t="str">
        <f>"云南省文山州砚山县维摩乡普底村委会白沙弯组7号"</f>
        <v>云南省文山州砚山县维摩乡普底村委会白沙弯组7号</v>
      </c>
      <c r="H190" s="11" t="str">
        <f>"初中"</f>
        <v>初中</v>
      </c>
      <c r="I190" s="11" t="str">
        <f>"204:英语"</f>
        <v>204:英语</v>
      </c>
      <c r="J190" s="19"/>
      <c r="K190" s="13" t="s">
        <v>35</v>
      </c>
      <c r="L190" s="22">
        <v>80.62</v>
      </c>
      <c r="M190" s="28">
        <v>2</v>
      </c>
      <c r="N190" s="20" t="s">
        <v>46</v>
      </c>
    </row>
    <row r="191" spans="1:14" s="10" customFormat="1" ht="33" customHeight="1">
      <c r="A191" s="11">
        <v>188</v>
      </c>
      <c r="B191" s="11" t="str">
        <f>"张艳"</f>
        <v>张艳</v>
      </c>
      <c r="C191" s="11" t="str">
        <f t="shared" si="23"/>
        <v xml:space="preserve">女        </v>
      </c>
      <c r="D191" s="11" t="str">
        <f>"彝族"</f>
        <v>彝族</v>
      </c>
      <c r="E191" s="11" t="str">
        <f>"532225199407081725"</f>
        <v>532225199407081725</v>
      </c>
      <c r="F191" s="11" t="str">
        <f>"13595997268"</f>
        <v>13595997268</v>
      </c>
      <c r="G191" s="11" t="str">
        <f>"贵州省望谟县打易镇打易中心校宿舍"</f>
        <v>贵州省望谟县打易镇打易中心校宿舍</v>
      </c>
      <c r="H191" s="11" t="str">
        <f>"初中"</f>
        <v>初中</v>
      </c>
      <c r="I191" s="11" t="str">
        <f>"204:英语"</f>
        <v>204:英语</v>
      </c>
      <c r="J191" s="19"/>
      <c r="K191" s="13" t="s">
        <v>35</v>
      </c>
      <c r="L191" s="22">
        <v>78.540000000000006</v>
      </c>
      <c r="M191" s="28">
        <v>3</v>
      </c>
      <c r="N191" s="20" t="s">
        <v>46</v>
      </c>
    </row>
    <row r="192" spans="1:14" s="10" customFormat="1" ht="33" customHeight="1">
      <c r="A192" s="11">
        <v>189</v>
      </c>
      <c r="B192" s="11" t="str">
        <f>"梁蔓"</f>
        <v>梁蔓</v>
      </c>
      <c r="C192" s="11" t="str">
        <f t="shared" si="23"/>
        <v xml:space="preserve">女        </v>
      </c>
      <c r="D192" s="11" t="str">
        <f>"汉族"</f>
        <v>汉族</v>
      </c>
      <c r="E192" s="11" t="str">
        <f>"530324199306191121"</f>
        <v>530324199306191121</v>
      </c>
      <c r="F192" s="11" t="str">
        <f>"15597866885"</f>
        <v>15597866885</v>
      </c>
      <c r="G192" s="11" t="str">
        <f>"贵州省六盘水市钟山区裕民巷2号602室"</f>
        <v>贵州省六盘水市钟山区裕民巷2号602室</v>
      </c>
      <c r="H192" s="11" t="str">
        <f t="shared" ref="H192:H198" si="24">"小学"</f>
        <v>小学</v>
      </c>
      <c r="I192" s="11" t="str">
        <f t="shared" ref="I192:I198" si="25">"104:英语"</f>
        <v>104:英语</v>
      </c>
      <c r="J192" s="19"/>
      <c r="K192" s="13" t="s">
        <v>35</v>
      </c>
      <c r="L192" s="22">
        <v>87.28</v>
      </c>
      <c r="M192" s="28">
        <v>1</v>
      </c>
      <c r="N192" s="20" t="s">
        <v>46</v>
      </c>
    </row>
    <row r="193" spans="1:14" s="10" customFormat="1" ht="33" customHeight="1">
      <c r="A193" s="11">
        <v>190</v>
      </c>
      <c r="B193" s="11" t="str">
        <f>"唐兰妹"</f>
        <v>唐兰妹</v>
      </c>
      <c r="C193" s="11" t="str">
        <f t="shared" si="23"/>
        <v xml:space="preserve">女        </v>
      </c>
      <c r="D193" s="11" t="str">
        <f>"汉族"</f>
        <v>汉族</v>
      </c>
      <c r="E193" s="11" t="str">
        <f>"522321199407265821"</f>
        <v>522321199407265821</v>
      </c>
      <c r="F193" s="11" t="str">
        <f>"18311535642"</f>
        <v>18311535642</v>
      </c>
      <c r="G193" s="11" t="str">
        <f>"贵州省兴义市威舍镇猪场村三组"</f>
        <v>贵州省兴义市威舍镇猪场村三组</v>
      </c>
      <c r="H193" s="11" t="str">
        <f t="shared" si="24"/>
        <v>小学</v>
      </c>
      <c r="I193" s="11" t="str">
        <f t="shared" si="25"/>
        <v>104:英语</v>
      </c>
      <c r="J193" s="19"/>
      <c r="K193" s="13" t="s">
        <v>35</v>
      </c>
      <c r="L193" s="22">
        <v>85.08</v>
      </c>
      <c r="M193" s="28">
        <v>2</v>
      </c>
      <c r="N193" s="20" t="s">
        <v>46</v>
      </c>
    </row>
    <row r="194" spans="1:14" s="10" customFormat="1" ht="33" customHeight="1">
      <c r="A194" s="11">
        <v>191</v>
      </c>
      <c r="B194" s="11" t="str">
        <f>"徐娜"</f>
        <v>徐娜</v>
      </c>
      <c r="C194" s="11" t="str">
        <f t="shared" si="23"/>
        <v xml:space="preserve">女        </v>
      </c>
      <c r="D194" s="11" t="str">
        <f>"汉族"</f>
        <v>汉族</v>
      </c>
      <c r="E194" s="11" t="str">
        <f>"522322199111194426"</f>
        <v>522322199111194426</v>
      </c>
      <c r="F194" s="11" t="str">
        <f>"18375048187"</f>
        <v>18375048187</v>
      </c>
      <c r="G194" s="11" t="str">
        <f>"贵州省兴仁县民建乡牛厂坪村朱家井组"</f>
        <v>贵州省兴仁县民建乡牛厂坪村朱家井组</v>
      </c>
      <c r="H194" s="11" t="str">
        <f t="shared" si="24"/>
        <v>小学</v>
      </c>
      <c r="I194" s="11" t="str">
        <f t="shared" si="25"/>
        <v>104:英语</v>
      </c>
      <c r="J194" s="19"/>
      <c r="K194" s="13" t="s">
        <v>35</v>
      </c>
      <c r="L194" s="22">
        <v>82.82</v>
      </c>
      <c r="M194" s="28">
        <v>3</v>
      </c>
      <c r="N194" s="20" t="s">
        <v>46</v>
      </c>
    </row>
    <row r="195" spans="1:14" s="10" customFormat="1" ht="33" customHeight="1">
      <c r="A195" s="11">
        <v>192</v>
      </c>
      <c r="B195" s="11" t="str">
        <f>"朱太宇"</f>
        <v>朱太宇</v>
      </c>
      <c r="C195" s="11" t="str">
        <f t="shared" si="23"/>
        <v xml:space="preserve">女        </v>
      </c>
      <c r="D195" s="11" t="str">
        <f>"汉族"</f>
        <v>汉族</v>
      </c>
      <c r="E195" s="11" t="str">
        <f>"522328199408260082"</f>
        <v>522328199408260082</v>
      </c>
      <c r="F195" s="11" t="str">
        <f>"15870358227"</f>
        <v>15870358227</v>
      </c>
      <c r="G195" s="11" t="str">
        <f>"贵州省黔西南州安龙县新安镇东门村塔山组"</f>
        <v>贵州省黔西南州安龙县新安镇东门村塔山组</v>
      </c>
      <c r="H195" s="11" t="str">
        <f t="shared" si="24"/>
        <v>小学</v>
      </c>
      <c r="I195" s="11" t="str">
        <f t="shared" si="25"/>
        <v>104:英语</v>
      </c>
      <c r="J195" s="19"/>
      <c r="K195" s="13" t="s">
        <v>35</v>
      </c>
      <c r="L195" s="22">
        <v>82.3</v>
      </c>
      <c r="M195" s="28">
        <v>4</v>
      </c>
      <c r="N195" s="20" t="s">
        <v>46</v>
      </c>
    </row>
    <row r="196" spans="1:14" s="10" customFormat="1" ht="33" customHeight="1">
      <c r="A196" s="11">
        <v>193</v>
      </c>
      <c r="B196" s="11" t="str">
        <f>"宋进平"</f>
        <v>宋进平</v>
      </c>
      <c r="C196" s="11" t="str">
        <f t="shared" si="23"/>
        <v xml:space="preserve">女        </v>
      </c>
      <c r="D196" s="11" t="str">
        <f>"汉族"</f>
        <v>汉族</v>
      </c>
      <c r="E196" s="11" t="str">
        <f>"52232119921005406X"</f>
        <v>52232119921005406X</v>
      </c>
      <c r="F196" s="11" t="str">
        <f>"18748949775"</f>
        <v>18748949775</v>
      </c>
      <c r="G196" s="11" t="str">
        <f>"贵州省兴义市顶效镇迎宾西路25号"</f>
        <v>贵州省兴义市顶效镇迎宾西路25号</v>
      </c>
      <c r="H196" s="11" t="str">
        <f t="shared" si="24"/>
        <v>小学</v>
      </c>
      <c r="I196" s="11" t="str">
        <f t="shared" si="25"/>
        <v>104:英语</v>
      </c>
      <c r="J196" s="19"/>
      <c r="K196" s="13" t="s">
        <v>35</v>
      </c>
      <c r="L196" s="22">
        <v>81.48</v>
      </c>
      <c r="M196" s="28">
        <v>5</v>
      </c>
      <c r="N196" s="20" t="s">
        <v>46</v>
      </c>
    </row>
    <row r="197" spans="1:14" s="10" customFormat="1" ht="33" customHeight="1">
      <c r="A197" s="11">
        <v>194</v>
      </c>
      <c r="B197" s="11" t="str">
        <f>"罗仕娟"</f>
        <v>罗仕娟</v>
      </c>
      <c r="C197" s="11" t="str">
        <f t="shared" si="23"/>
        <v xml:space="preserve">女        </v>
      </c>
      <c r="D197" s="11" t="str">
        <f>"布依族"</f>
        <v>布依族</v>
      </c>
      <c r="E197" s="11" t="str">
        <f>"52232619930908122X"</f>
        <v>52232619930908122X</v>
      </c>
      <c r="F197" s="11" t="str">
        <f>"18311640411"</f>
        <v>18311640411</v>
      </c>
      <c r="G197" s="11" t="str">
        <f>"贵州省望谟县纳夜镇打郎村一组"</f>
        <v>贵州省望谟县纳夜镇打郎村一组</v>
      </c>
      <c r="H197" s="11" t="str">
        <f t="shared" si="24"/>
        <v>小学</v>
      </c>
      <c r="I197" s="11" t="str">
        <f t="shared" si="25"/>
        <v>104:英语</v>
      </c>
      <c r="J197" s="19"/>
      <c r="K197" s="13" t="s">
        <v>35</v>
      </c>
      <c r="L197" s="22">
        <v>77.58</v>
      </c>
      <c r="M197" s="21">
        <v>6</v>
      </c>
      <c r="N197" s="20"/>
    </row>
    <row r="198" spans="1:14" s="10" customFormat="1" ht="33" customHeight="1">
      <c r="A198" s="11">
        <v>195</v>
      </c>
      <c r="B198" s="11" t="str">
        <f>"刘学键"</f>
        <v>刘学键</v>
      </c>
      <c r="C198" s="11" t="str">
        <f t="shared" si="23"/>
        <v xml:space="preserve">女        </v>
      </c>
      <c r="D198" s="11" t="str">
        <f>"苗族"</f>
        <v>苗族</v>
      </c>
      <c r="E198" s="11" t="str">
        <f>"522326199408221443"</f>
        <v>522326199408221443</v>
      </c>
      <c r="F198" s="11" t="str">
        <f>"18285211759"</f>
        <v>18285211759</v>
      </c>
      <c r="G198" s="11" t="str">
        <f>"贵州省望谟县石屯镇马坎村弄乱一组"</f>
        <v>贵州省望谟县石屯镇马坎村弄乱一组</v>
      </c>
      <c r="H198" s="11" t="str">
        <f t="shared" si="24"/>
        <v>小学</v>
      </c>
      <c r="I198" s="11" t="str">
        <f t="shared" si="25"/>
        <v>104:英语</v>
      </c>
      <c r="J198" s="19"/>
      <c r="K198" s="13" t="s">
        <v>35</v>
      </c>
      <c r="L198" s="22">
        <v>74.459999999999994</v>
      </c>
      <c r="M198" s="21">
        <v>7</v>
      </c>
      <c r="N198" s="20"/>
    </row>
    <row r="199" spans="1:14" s="10" customFormat="1" ht="33" customHeight="1">
      <c r="A199" s="11">
        <v>196</v>
      </c>
      <c r="B199" s="11" t="str">
        <f>"熊富"</f>
        <v>熊富</v>
      </c>
      <c r="C199" s="11" t="str">
        <f>"男        "</f>
        <v xml:space="preserve">男        </v>
      </c>
      <c r="D199" s="11" t="str">
        <f>"苗族"</f>
        <v>苗族</v>
      </c>
      <c r="E199" s="11" t="str">
        <f>"532627199207162939"</f>
        <v>532627199207162939</v>
      </c>
      <c r="F199" s="11" t="str">
        <f>"15012187947"</f>
        <v>15012187947</v>
      </c>
      <c r="G199" s="11" t="str">
        <f>"云南省文山壮族苗族州广南县五珠乡九克村民委小凹塘小"</f>
        <v>云南省文山壮族苗族州广南县五珠乡九克村民委小凹塘小</v>
      </c>
      <c r="H199" s="11" t="str">
        <f t="shared" ref="H199:H242" si="26">"初中"</f>
        <v>初中</v>
      </c>
      <c r="I199" s="11" t="str">
        <f>"203:数学"</f>
        <v>203:数学</v>
      </c>
      <c r="J199" s="19"/>
      <c r="K199" s="13" t="s">
        <v>35</v>
      </c>
      <c r="L199" s="22">
        <v>87.36</v>
      </c>
      <c r="M199" s="28">
        <v>1</v>
      </c>
      <c r="N199" s="20" t="s">
        <v>46</v>
      </c>
    </row>
    <row r="200" spans="1:14" s="10" customFormat="1" ht="33" customHeight="1">
      <c r="A200" s="11">
        <v>197</v>
      </c>
      <c r="B200" s="11" t="str">
        <f>"黄佳梅"</f>
        <v>黄佳梅</v>
      </c>
      <c r="C200" s="11" t="str">
        <f>"女        "</f>
        <v xml:space="preserve">女        </v>
      </c>
      <c r="D200" s="11" t="str">
        <f>"壮族"</f>
        <v>壮族</v>
      </c>
      <c r="E200" s="11" t="str">
        <f>"452631199305282621"</f>
        <v>452631199305282621</v>
      </c>
      <c r="F200" s="11" t="str">
        <f>"15878639441"</f>
        <v>15878639441</v>
      </c>
      <c r="G200" s="11" t="str">
        <f>"广西百色市隆林各族自治县革步乡领好村那芝社117号"</f>
        <v>广西百色市隆林各族自治县革步乡领好村那芝社117号</v>
      </c>
      <c r="H200" s="11" t="str">
        <f t="shared" si="26"/>
        <v>初中</v>
      </c>
      <c r="I200" s="11" t="str">
        <f>"203:数学"</f>
        <v>203:数学</v>
      </c>
      <c r="J200" s="19"/>
      <c r="K200" s="13" t="s">
        <v>35</v>
      </c>
      <c r="L200" s="22">
        <v>81.180000000000007</v>
      </c>
      <c r="M200" s="28">
        <v>2</v>
      </c>
      <c r="N200" s="20" t="s">
        <v>46</v>
      </c>
    </row>
    <row r="201" spans="1:14" s="10" customFormat="1" ht="33" customHeight="1">
      <c r="A201" s="11">
        <v>198</v>
      </c>
      <c r="B201" s="11" t="str">
        <f>"杨光伟"</f>
        <v>杨光伟</v>
      </c>
      <c r="C201" s="11" t="str">
        <f>"男        "</f>
        <v xml:space="preserve">男        </v>
      </c>
      <c r="D201" s="11" t="str">
        <f>"布依族"</f>
        <v>布依族</v>
      </c>
      <c r="E201" s="11" t="str">
        <f>"522328199409213712"</f>
        <v>522328199409213712</v>
      </c>
      <c r="F201" s="11" t="str">
        <f>"13809440634"</f>
        <v>13809440634</v>
      </c>
      <c r="G201" s="11" t="str">
        <f>"贵州省安龙县普坪镇秧地村秧地五组"</f>
        <v>贵州省安龙县普坪镇秧地村秧地五组</v>
      </c>
      <c r="H201" s="11" t="str">
        <f t="shared" si="26"/>
        <v>初中</v>
      </c>
      <c r="I201" s="11" t="str">
        <f t="shared" ref="I201:I215" si="27">"207:地理"</f>
        <v>207:地理</v>
      </c>
      <c r="J201" s="11"/>
      <c r="K201" s="11" t="s">
        <v>25</v>
      </c>
      <c r="L201" s="22">
        <v>87.72</v>
      </c>
      <c r="M201" s="28">
        <v>1</v>
      </c>
      <c r="N201" s="20" t="s">
        <v>46</v>
      </c>
    </row>
    <row r="202" spans="1:14" s="10" customFormat="1" ht="33" customHeight="1">
      <c r="A202" s="11">
        <v>199</v>
      </c>
      <c r="B202" s="11" t="str">
        <f>"罗宇梅"</f>
        <v>罗宇梅</v>
      </c>
      <c r="C202" s="11" t="str">
        <f>"女        "</f>
        <v xml:space="preserve">女        </v>
      </c>
      <c r="D202" s="11" t="str">
        <f>"布依族"</f>
        <v>布依族</v>
      </c>
      <c r="E202" s="11" t="str">
        <f>"522324199108243648"</f>
        <v>522324199108243648</v>
      </c>
      <c r="F202" s="11" t="str">
        <f>"13765533951"</f>
        <v>13765533951</v>
      </c>
      <c r="G202" s="11" t="str">
        <f>"贵州省晴隆县光照镇规模村"</f>
        <v>贵州省晴隆县光照镇规模村</v>
      </c>
      <c r="H202" s="11" t="str">
        <f t="shared" si="26"/>
        <v>初中</v>
      </c>
      <c r="I202" s="11" t="str">
        <f t="shared" si="27"/>
        <v>207:地理</v>
      </c>
      <c r="J202" s="11"/>
      <c r="K202" s="11" t="s">
        <v>25</v>
      </c>
      <c r="L202" s="22">
        <v>86.72</v>
      </c>
      <c r="M202" s="28">
        <v>2</v>
      </c>
      <c r="N202" s="20" t="s">
        <v>46</v>
      </c>
    </row>
    <row r="203" spans="1:14" s="10" customFormat="1" ht="33" customHeight="1">
      <c r="A203" s="11">
        <v>200</v>
      </c>
      <c r="B203" s="11" t="str">
        <f>"马德铭"</f>
        <v>马德铭</v>
      </c>
      <c r="C203" s="11" t="str">
        <f>"男        "</f>
        <v xml:space="preserve">男        </v>
      </c>
      <c r="D203" s="11" t="str">
        <f>"回族"</f>
        <v>回族</v>
      </c>
      <c r="E203" s="11" t="str">
        <f>"522322198810261814"</f>
        <v>522322198810261814</v>
      </c>
      <c r="F203" s="11" t="str">
        <f>"18785570677"</f>
        <v>18785570677</v>
      </c>
      <c r="G203" s="11" t="str">
        <f>"贵州省兴仁县鲁础营乡鲁础营村三家寨组"</f>
        <v>贵州省兴仁县鲁础营乡鲁础营村三家寨组</v>
      </c>
      <c r="H203" s="11" t="str">
        <f t="shared" si="26"/>
        <v>初中</v>
      </c>
      <c r="I203" s="11" t="str">
        <f t="shared" si="27"/>
        <v>207:地理</v>
      </c>
      <c r="J203" s="11"/>
      <c r="K203" s="11" t="s">
        <v>25</v>
      </c>
      <c r="L203" s="22">
        <v>86.14</v>
      </c>
      <c r="M203" s="28">
        <v>3</v>
      </c>
      <c r="N203" s="20" t="s">
        <v>46</v>
      </c>
    </row>
    <row r="204" spans="1:14" s="10" customFormat="1" ht="33" customHeight="1">
      <c r="A204" s="11">
        <v>201</v>
      </c>
      <c r="B204" s="11" t="str">
        <f>"许明艳"</f>
        <v>许明艳</v>
      </c>
      <c r="C204" s="11" t="str">
        <f>"女        "</f>
        <v xml:space="preserve">女        </v>
      </c>
      <c r="D204" s="11" t="str">
        <f>"汉族"</f>
        <v>汉族</v>
      </c>
      <c r="E204" s="11" t="str">
        <f>"522326199205111623"</f>
        <v>522326199205111623</v>
      </c>
      <c r="F204" s="11" t="str">
        <f>"18216633825"</f>
        <v>18216633825</v>
      </c>
      <c r="G204" s="11" t="str">
        <f>"贵州省望谟县新屯镇交角村上交角组"</f>
        <v>贵州省望谟县新屯镇交角村上交角组</v>
      </c>
      <c r="H204" s="11" t="str">
        <f t="shared" si="26"/>
        <v>初中</v>
      </c>
      <c r="I204" s="11" t="str">
        <f t="shared" si="27"/>
        <v>207:地理</v>
      </c>
      <c r="J204" s="11"/>
      <c r="K204" s="11" t="s">
        <v>25</v>
      </c>
      <c r="L204" s="22">
        <v>84.5</v>
      </c>
      <c r="M204" s="28">
        <v>4</v>
      </c>
      <c r="N204" s="20" t="s">
        <v>46</v>
      </c>
    </row>
    <row r="205" spans="1:14" s="10" customFormat="1" ht="33" customHeight="1">
      <c r="A205" s="11">
        <v>202</v>
      </c>
      <c r="B205" s="11" t="str">
        <f>"韦美芝"</f>
        <v>韦美芝</v>
      </c>
      <c r="C205" s="11" t="str">
        <f>"女        "</f>
        <v xml:space="preserve">女        </v>
      </c>
      <c r="D205" s="11" t="str">
        <f>"壮族"</f>
        <v>壮族</v>
      </c>
      <c r="E205" s="11" t="str">
        <f>"532622199501221520"</f>
        <v>532622199501221520</v>
      </c>
      <c r="F205" s="11" t="str">
        <f>"15912311404"</f>
        <v>15912311404</v>
      </c>
      <c r="G205" s="11" t="str">
        <f>"云南省文山壮族苗族自治州砚山县八嘎乡蚌岔村民委蚌岔"</f>
        <v>云南省文山壮族苗族自治州砚山县八嘎乡蚌岔村民委蚌岔</v>
      </c>
      <c r="H205" s="11" t="str">
        <f t="shared" si="26"/>
        <v>初中</v>
      </c>
      <c r="I205" s="11" t="str">
        <f t="shared" si="27"/>
        <v>207:地理</v>
      </c>
      <c r="J205" s="11"/>
      <c r="K205" s="11" t="s">
        <v>25</v>
      </c>
      <c r="L205" s="22">
        <v>83.94</v>
      </c>
      <c r="M205" s="28">
        <v>5</v>
      </c>
      <c r="N205" s="20" t="s">
        <v>46</v>
      </c>
    </row>
    <row r="206" spans="1:14" s="10" customFormat="1" ht="33" customHeight="1">
      <c r="A206" s="11">
        <v>203</v>
      </c>
      <c r="B206" s="11" t="str">
        <f>"韦秋"</f>
        <v>韦秋</v>
      </c>
      <c r="C206" s="11" t="str">
        <f>"女        "</f>
        <v xml:space="preserve">女        </v>
      </c>
      <c r="D206" s="11" t="str">
        <f>"壮族"</f>
        <v>壮族</v>
      </c>
      <c r="E206" s="11" t="str">
        <f>"452631199610282927"</f>
        <v>452631199610282927</v>
      </c>
      <c r="F206" s="11" t="str">
        <f>"13647889932"</f>
        <v>13647889932</v>
      </c>
      <c r="G206" s="11" t="str">
        <f>"广西百色隆林新州镇安技驾校旁"</f>
        <v>广西百色隆林新州镇安技驾校旁</v>
      </c>
      <c r="H206" s="11" t="str">
        <f t="shared" si="26"/>
        <v>初中</v>
      </c>
      <c r="I206" s="11" t="str">
        <f t="shared" si="27"/>
        <v>207:地理</v>
      </c>
      <c r="J206" s="11"/>
      <c r="K206" s="11" t="s">
        <v>25</v>
      </c>
      <c r="L206" s="22">
        <v>83.54</v>
      </c>
      <c r="M206" s="21">
        <v>6</v>
      </c>
      <c r="N206" s="20"/>
    </row>
    <row r="207" spans="1:14" s="10" customFormat="1" ht="33" customHeight="1">
      <c r="A207" s="11">
        <v>204</v>
      </c>
      <c r="B207" s="11" t="str">
        <f>"范守少"</f>
        <v>范守少</v>
      </c>
      <c r="C207" s="11" t="str">
        <f>"男        "</f>
        <v xml:space="preserve">男        </v>
      </c>
      <c r="D207" s="11" t="str">
        <f>"汉族"</f>
        <v>汉族</v>
      </c>
      <c r="E207" s="11" t="str">
        <f>"530381199503180592"</f>
        <v>530381199503180592</v>
      </c>
      <c r="F207" s="11" t="str">
        <f>"18388615943"</f>
        <v>18388615943</v>
      </c>
      <c r="G207" s="11" t="str">
        <f>"云南省宣威市来宾镇宗范村"</f>
        <v>云南省宣威市来宾镇宗范村</v>
      </c>
      <c r="H207" s="11" t="str">
        <f t="shared" si="26"/>
        <v>初中</v>
      </c>
      <c r="I207" s="11" t="str">
        <f t="shared" si="27"/>
        <v>207:地理</v>
      </c>
      <c r="J207" s="11"/>
      <c r="K207" s="11" t="s">
        <v>25</v>
      </c>
      <c r="L207" s="22">
        <v>83.44</v>
      </c>
      <c r="M207" s="21">
        <v>7</v>
      </c>
      <c r="N207" s="20"/>
    </row>
    <row r="208" spans="1:14" s="10" customFormat="1" ht="33" customHeight="1">
      <c r="A208" s="11">
        <v>205</v>
      </c>
      <c r="B208" s="11" t="str">
        <f>"耿艳超"</f>
        <v>耿艳超</v>
      </c>
      <c r="C208" s="11" t="str">
        <f>"男        "</f>
        <v xml:space="preserve">男        </v>
      </c>
      <c r="D208" s="11" t="str">
        <f>"汉族"</f>
        <v>汉族</v>
      </c>
      <c r="E208" s="11" t="str">
        <f>"532626199606292515"</f>
        <v>532626199606292515</v>
      </c>
      <c r="F208" s="11" t="str">
        <f>"15187187319"</f>
        <v>15187187319</v>
      </c>
      <c r="G208" s="11" t="str">
        <f>"云南省文山州丘北县双龙营镇雄山村民委草海子小组"</f>
        <v>云南省文山州丘北县双龙营镇雄山村民委草海子小组</v>
      </c>
      <c r="H208" s="11" t="str">
        <f t="shared" si="26"/>
        <v>初中</v>
      </c>
      <c r="I208" s="11" t="str">
        <f t="shared" si="27"/>
        <v>207:地理</v>
      </c>
      <c r="J208" s="11"/>
      <c r="K208" s="11" t="s">
        <v>25</v>
      </c>
      <c r="L208" s="22">
        <v>82.08</v>
      </c>
      <c r="M208" s="21">
        <v>8</v>
      </c>
      <c r="N208" s="20"/>
    </row>
    <row r="209" spans="1:14" s="10" customFormat="1" ht="33" customHeight="1">
      <c r="A209" s="11">
        <v>206</v>
      </c>
      <c r="B209" s="11" t="str">
        <f>"杨金汝"</f>
        <v>杨金汝</v>
      </c>
      <c r="C209" s="11" t="str">
        <f>"女        "</f>
        <v xml:space="preserve">女        </v>
      </c>
      <c r="D209" s="11" t="str">
        <f>"壮族"</f>
        <v>壮族</v>
      </c>
      <c r="E209" s="11" t="str">
        <f>"532622199608161126"</f>
        <v>532622199608161126</v>
      </c>
      <c r="F209" s="11" t="str">
        <f>"15912361240"</f>
        <v>15912361240</v>
      </c>
      <c r="G209" s="11" t="str">
        <f>"云南省文山壮族苗族自治州砚山县江那镇芦柴冲村民委芦"</f>
        <v>云南省文山壮族苗族自治州砚山县江那镇芦柴冲村民委芦</v>
      </c>
      <c r="H209" s="11" t="str">
        <f t="shared" si="26"/>
        <v>初中</v>
      </c>
      <c r="I209" s="11" t="str">
        <f t="shared" si="27"/>
        <v>207:地理</v>
      </c>
      <c r="J209" s="11"/>
      <c r="K209" s="11" t="s">
        <v>25</v>
      </c>
      <c r="L209" s="22">
        <v>81.540000000000006</v>
      </c>
      <c r="M209" s="21">
        <v>9</v>
      </c>
      <c r="N209" s="20"/>
    </row>
    <row r="210" spans="1:14" s="10" customFormat="1" ht="33" customHeight="1">
      <c r="A210" s="11">
        <v>207</v>
      </c>
      <c r="B210" s="11" t="str">
        <f>"周本云"</f>
        <v>周本云</v>
      </c>
      <c r="C210" s="11" t="str">
        <f>"女        "</f>
        <v xml:space="preserve">女        </v>
      </c>
      <c r="D210" s="11" t="str">
        <f>"汉族"</f>
        <v>汉族</v>
      </c>
      <c r="E210" s="11" t="str">
        <f>"532623199610161324"</f>
        <v>532623199610161324</v>
      </c>
      <c r="F210" s="11" t="str">
        <f>"13908768395"</f>
        <v>13908768395</v>
      </c>
      <c r="G210" s="11" t="str">
        <f>"云南省文山壮族苗族自治州西畴县柏林乡马蹄寨岩子脚村"</f>
        <v>云南省文山壮族苗族自治州西畴县柏林乡马蹄寨岩子脚村</v>
      </c>
      <c r="H210" s="11" t="str">
        <f t="shared" si="26"/>
        <v>初中</v>
      </c>
      <c r="I210" s="11" t="str">
        <f t="shared" si="27"/>
        <v>207:地理</v>
      </c>
      <c r="J210" s="11"/>
      <c r="K210" s="11" t="s">
        <v>25</v>
      </c>
      <c r="L210" s="22">
        <v>80.14</v>
      </c>
      <c r="M210" s="21">
        <v>10</v>
      </c>
      <c r="N210" s="20"/>
    </row>
    <row r="211" spans="1:14" s="10" customFormat="1" ht="33" customHeight="1">
      <c r="A211" s="11">
        <v>208</v>
      </c>
      <c r="B211" s="11" t="str">
        <f>"朱启兰"</f>
        <v>朱启兰</v>
      </c>
      <c r="C211" s="11" t="str">
        <f>"女        "</f>
        <v xml:space="preserve">女        </v>
      </c>
      <c r="D211" s="11" t="str">
        <f>"彝族"</f>
        <v>彝族</v>
      </c>
      <c r="E211" s="11" t="str">
        <f>"532627199605103205"</f>
        <v>532627199605103205</v>
      </c>
      <c r="F211" s="11" t="str">
        <f>"18388673459"</f>
        <v>18388673459</v>
      </c>
      <c r="G211" s="11" t="str">
        <f>"云南省文山壮族苗族自治州广南县珠琳镇以兔村民委姑德"</f>
        <v>云南省文山壮族苗族自治州广南县珠琳镇以兔村民委姑德</v>
      </c>
      <c r="H211" s="11" t="str">
        <f t="shared" si="26"/>
        <v>初中</v>
      </c>
      <c r="I211" s="11" t="str">
        <f t="shared" si="27"/>
        <v>207:地理</v>
      </c>
      <c r="J211" s="11"/>
      <c r="K211" s="11" t="s">
        <v>25</v>
      </c>
      <c r="L211" s="22">
        <v>79.180000000000007</v>
      </c>
      <c r="M211" s="21">
        <v>11</v>
      </c>
      <c r="N211" s="20"/>
    </row>
    <row r="212" spans="1:14" s="10" customFormat="1" ht="33" customHeight="1">
      <c r="A212" s="11">
        <v>209</v>
      </c>
      <c r="B212" s="11" t="str">
        <f>"杨雄艳"</f>
        <v>杨雄艳</v>
      </c>
      <c r="C212" s="11" t="str">
        <f>"男        "</f>
        <v xml:space="preserve">男        </v>
      </c>
      <c r="D212" s="11" t="str">
        <f>"汉族"</f>
        <v>汉族</v>
      </c>
      <c r="E212" s="11" t="str">
        <f>"530325199511180815"</f>
        <v>530325199511180815</v>
      </c>
      <c r="F212" s="11" t="str">
        <f>"15770258518"</f>
        <v>15770258518</v>
      </c>
      <c r="G212" s="11" t="str">
        <f>"云南省曲靖市富源县大河镇黄泥村委会幸福村"</f>
        <v>云南省曲靖市富源县大河镇黄泥村委会幸福村</v>
      </c>
      <c r="H212" s="11" t="str">
        <f t="shared" si="26"/>
        <v>初中</v>
      </c>
      <c r="I212" s="11" t="str">
        <f t="shared" si="27"/>
        <v>207:地理</v>
      </c>
      <c r="J212" s="11"/>
      <c r="K212" s="11" t="s">
        <v>25</v>
      </c>
      <c r="L212" s="22">
        <v>78.819999999999993</v>
      </c>
      <c r="M212" s="21">
        <v>12</v>
      </c>
      <c r="N212" s="20"/>
    </row>
    <row r="213" spans="1:14" s="10" customFormat="1" ht="33" customHeight="1">
      <c r="A213" s="11">
        <v>210</v>
      </c>
      <c r="B213" s="11" t="str">
        <f>"荣华玉"</f>
        <v>荣华玉</v>
      </c>
      <c r="C213" s="11" t="str">
        <f>"女        "</f>
        <v xml:space="preserve">女        </v>
      </c>
      <c r="D213" s="11" t="str">
        <f>"汉族"</f>
        <v>汉族</v>
      </c>
      <c r="E213" s="11" t="str">
        <f>"532624199604192526"</f>
        <v>532624199604192526</v>
      </c>
      <c r="F213" s="11" t="str">
        <f>"18887617319"</f>
        <v>18887617319</v>
      </c>
      <c r="G213" s="11" t="str">
        <f>"云南省文山壮族苗族自治州麻栗坡县"</f>
        <v>云南省文山壮族苗族自治州麻栗坡县</v>
      </c>
      <c r="H213" s="11" t="str">
        <f t="shared" si="26"/>
        <v>初中</v>
      </c>
      <c r="I213" s="11" t="str">
        <f t="shared" si="27"/>
        <v>207:地理</v>
      </c>
      <c r="J213" s="11"/>
      <c r="K213" s="11" t="s">
        <v>25</v>
      </c>
      <c r="L213" s="22">
        <v>74.28</v>
      </c>
      <c r="M213" s="21">
        <v>13</v>
      </c>
      <c r="N213" s="20"/>
    </row>
    <row r="214" spans="1:14" s="10" customFormat="1" ht="33" customHeight="1">
      <c r="A214" s="11">
        <v>211</v>
      </c>
      <c r="B214" s="11" t="str">
        <f>"黄云练"</f>
        <v>黄云练</v>
      </c>
      <c r="C214" s="11" t="str">
        <f>"女        "</f>
        <v xml:space="preserve">女        </v>
      </c>
      <c r="D214" s="11" t="str">
        <f>"壮族"</f>
        <v>壮族</v>
      </c>
      <c r="E214" s="11" t="str">
        <f>"452631199506082626"</f>
        <v>452631199506082626</v>
      </c>
      <c r="F214" s="11" t="str">
        <f>"18278699627"</f>
        <v>18278699627</v>
      </c>
      <c r="G214" s="11" t="str">
        <f>"广西隆林各族自治县革步乡蒙里村九乐社08号"</f>
        <v>广西隆林各族自治县革步乡蒙里村九乐社08号</v>
      </c>
      <c r="H214" s="11" t="str">
        <f t="shared" si="26"/>
        <v>初中</v>
      </c>
      <c r="I214" s="11" t="str">
        <f t="shared" si="27"/>
        <v>207:地理</v>
      </c>
      <c r="J214" s="11"/>
      <c r="K214" s="11" t="s">
        <v>25</v>
      </c>
      <c r="L214" s="24" t="s">
        <v>45</v>
      </c>
      <c r="M214" s="21">
        <v>14</v>
      </c>
      <c r="N214" s="20"/>
    </row>
    <row r="215" spans="1:14" s="10" customFormat="1" ht="33" customHeight="1">
      <c r="A215" s="11">
        <v>212</v>
      </c>
      <c r="B215" s="11" t="str">
        <f>"柏定江"</f>
        <v>柏定江</v>
      </c>
      <c r="C215" s="11" t="str">
        <f>"男        "</f>
        <v xml:space="preserve">男        </v>
      </c>
      <c r="D215" s="11" t="str">
        <f>"布依族"</f>
        <v>布依族</v>
      </c>
      <c r="E215" s="11" t="str">
        <f>"522324199206105214"</f>
        <v>522324199206105214</v>
      </c>
      <c r="F215" s="11" t="str">
        <f>"13765532675"</f>
        <v>13765532675</v>
      </c>
      <c r="G215" s="11" t="str">
        <f>"贵州省晴隆县中营镇新民村义拉组"</f>
        <v>贵州省晴隆县中营镇新民村义拉组</v>
      </c>
      <c r="H215" s="11" t="str">
        <f t="shared" si="26"/>
        <v>初中</v>
      </c>
      <c r="I215" s="11" t="str">
        <f t="shared" si="27"/>
        <v>207:地理</v>
      </c>
      <c r="J215" s="11"/>
      <c r="K215" s="11" t="s">
        <v>25</v>
      </c>
      <c r="L215" s="24" t="s">
        <v>45</v>
      </c>
      <c r="M215" s="21">
        <v>15</v>
      </c>
      <c r="N215" s="20"/>
    </row>
    <row r="216" spans="1:14" s="10" customFormat="1" ht="33" customHeight="1">
      <c r="A216" s="11">
        <v>213</v>
      </c>
      <c r="B216" s="11" t="str">
        <f>"董巧林"</f>
        <v>董巧林</v>
      </c>
      <c r="C216" s="11" t="str">
        <f>"女        "</f>
        <v xml:space="preserve">女        </v>
      </c>
      <c r="D216" s="11" t="str">
        <f>"汉族"</f>
        <v>汉族</v>
      </c>
      <c r="E216" s="11" t="str">
        <f>"530324199501171724"</f>
        <v>530324199501171724</v>
      </c>
      <c r="F216" s="11" t="str">
        <f>"15758234496"</f>
        <v>15758234496</v>
      </c>
      <c r="G216" s="11" t="str">
        <f>"云南省曲靖市罗平县马街镇小寨村"</f>
        <v>云南省曲靖市罗平县马街镇小寨村</v>
      </c>
      <c r="H216" s="11" t="str">
        <f t="shared" si="26"/>
        <v>初中</v>
      </c>
      <c r="I216" s="11" t="str">
        <f t="shared" ref="I216:I230" si="28">"209:生物"</f>
        <v>209:生物</v>
      </c>
      <c r="J216" s="11"/>
      <c r="K216" s="1" t="s">
        <v>26</v>
      </c>
      <c r="L216" s="22">
        <v>88.7</v>
      </c>
      <c r="M216" s="28">
        <v>1</v>
      </c>
      <c r="N216" s="20" t="s">
        <v>46</v>
      </c>
    </row>
    <row r="217" spans="1:14" s="10" customFormat="1" ht="33" customHeight="1">
      <c r="A217" s="11">
        <v>214</v>
      </c>
      <c r="B217" s="11" t="str">
        <f>"王秀兰"</f>
        <v>王秀兰</v>
      </c>
      <c r="C217" s="11" t="str">
        <f>"女        "</f>
        <v xml:space="preserve">女        </v>
      </c>
      <c r="D217" s="11" t="str">
        <f>"汉族"</f>
        <v>汉族</v>
      </c>
      <c r="E217" s="11" t="str">
        <f>"452631199308140987"</f>
        <v>452631199308140987</v>
      </c>
      <c r="F217" s="11" t="str">
        <f>"17776172192"</f>
        <v>17776172192</v>
      </c>
      <c r="G217" s="11" t="str">
        <f>""</f>
        <v/>
      </c>
      <c r="H217" s="11" t="str">
        <f t="shared" si="26"/>
        <v>初中</v>
      </c>
      <c r="I217" s="11" t="str">
        <f t="shared" si="28"/>
        <v>209:生物</v>
      </c>
      <c r="J217" s="11"/>
      <c r="K217" s="1" t="s">
        <v>26</v>
      </c>
      <c r="L217" s="22">
        <v>86.63</v>
      </c>
      <c r="M217" s="28">
        <v>2</v>
      </c>
      <c r="N217" s="20" t="s">
        <v>46</v>
      </c>
    </row>
    <row r="218" spans="1:14" s="10" customFormat="1" ht="33" customHeight="1">
      <c r="A218" s="11">
        <v>215</v>
      </c>
      <c r="B218" s="11" t="str">
        <f>"杨静"</f>
        <v>杨静</v>
      </c>
      <c r="C218" s="11" t="str">
        <f>"女        "</f>
        <v xml:space="preserve">女        </v>
      </c>
      <c r="D218" s="11" t="str">
        <f>"土家族"</f>
        <v>土家族</v>
      </c>
      <c r="E218" s="11" t="str">
        <f>"52212719930326256X"</f>
        <v>52212719930326256X</v>
      </c>
      <c r="F218" s="11" t="str">
        <f>"18785923720"</f>
        <v>18785923720</v>
      </c>
      <c r="G218" s="11" t="str">
        <f>"贵州省凤冈县进化镇熊坪村上坝组16号"</f>
        <v>贵州省凤冈县进化镇熊坪村上坝组16号</v>
      </c>
      <c r="H218" s="11" t="str">
        <f t="shared" si="26"/>
        <v>初中</v>
      </c>
      <c r="I218" s="11" t="str">
        <f t="shared" si="28"/>
        <v>209:生物</v>
      </c>
      <c r="J218" s="11"/>
      <c r="K218" s="1" t="s">
        <v>26</v>
      </c>
      <c r="L218" s="22">
        <v>85.51</v>
      </c>
      <c r="M218" s="28">
        <v>3</v>
      </c>
      <c r="N218" s="20" t="s">
        <v>46</v>
      </c>
    </row>
    <row r="219" spans="1:14" s="10" customFormat="1" ht="33" customHeight="1">
      <c r="A219" s="11">
        <v>216</v>
      </c>
      <c r="B219" s="11" t="str">
        <f>"李彦明"</f>
        <v>李彦明</v>
      </c>
      <c r="C219" s="11" t="str">
        <f>"男        "</f>
        <v xml:space="preserve">男        </v>
      </c>
      <c r="D219" s="11" t="str">
        <f>"汉族"</f>
        <v>汉族</v>
      </c>
      <c r="E219" s="11" t="str">
        <f>"532225199408281737"</f>
        <v>532225199408281737</v>
      </c>
      <c r="F219" s="11" t="str">
        <f>"18314547185"</f>
        <v>18314547185</v>
      </c>
      <c r="G219" s="11" t="str">
        <f>"云南省曲靖市富源县十八连山镇雨汪村委会金牛南路23号"</f>
        <v>云南省曲靖市富源县十八连山镇雨汪村委会金牛南路23号</v>
      </c>
      <c r="H219" s="11" t="str">
        <f t="shared" si="26"/>
        <v>初中</v>
      </c>
      <c r="I219" s="11" t="str">
        <f t="shared" si="28"/>
        <v>209:生物</v>
      </c>
      <c r="J219" s="11"/>
      <c r="K219" s="1" t="s">
        <v>26</v>
      </c>
      <c r="L219" s="22">
        <v>84.93</v>
      </c>
      <c r="M219" s="28">
        <v>4</v>
      </c>
      <c r="N219" s="20" t="s">
        <v>46</v>
      </c>
    </row>
    <row r="220" spans="1:14" s="10" customFormat="1" ht="33" customHeight="1">
      <c r="A220" s="11">
        <v>217</v>
      </c>
      <c r="B220" s="11" t="str">
        <f>"甘玉"</f>
        <v>甘玉</v>
      </c>
      <c r="C220" s="11" t="str">
        <f>"女        "</f>
        <v xml:space="preserve">女        </v>
      </c>
      <c r="D220" s="11" t="str">
        <f>"彝族"</f>
        <v>彝族</v>
      </c>
      <c r="E220" s="11" t="str">
        <f>"522322199008154426"</f>
        <v>522322199008154426</v>
      </c>
      <c r="F220" s="11" t="str">
        <f>"18285129876"</f>
        <v>18285129876</v>
      </c>
      <c r="G220" s="11" t="str">
        <f>"贵州省兴仁县民建乡"</f>
        <v>贵州省兴仁县民建乡</v>
      </c>
      <c r="H220" s="11" t="str">
        <f t="shared" si="26"/>
        <v>初中</v>
      </c>
      <c r="I220" s="11" t="str">
        <f t="shared" si="28"/>
        <v>209:生物</v>
      </c>
      <c r="J220" s="11"/>
      <c r="K220" s="1" t="s">
        <v>26</v>
      </c>
      <c r="L220" s="22">
        <v>84.91</v>
      </c>
      <c r="M220" s="28">
        <v>5</v>
      </c>
      <c r="N220" s="20" t="s">
        <v>46</v>
      </c>
    </row>
    <row r="221" spans="1:14" s="10" customFormat="1" ht="33" customHeight="1">
      <c r="A221" s="11">
        <v>218</v>
      </c>
      <c r="B221" s="11" t="str">
        <f>"王正飞"</f>
        <v>王正飞</v>
      </c>
      <c r="C221" s="11" t="str">
        <f>"男        "</f>
        <v xml:space="preserve">男        </v>
      </c>
      <c r="D221" s="11" t="str">
        <f>"布依族"</f>
        <v>布依族</v>
      </c>
      <c r="E221" s="11" t="str">
        <f>"522327198912120619"</f>
        <v>522327198912120619</v>
      </c>
      <c r="F221" s="11" t="str">
        <f>"18208595206"</f>
        <v>18208595206</v>
      </c>
      <c r="G221" s="11" t="str">
        <f>"贵州省册亨县威旁乡江见村打浪组"</f>
        <v>贵州省册亨县威旁乡江见村打浪组</v>
      </c>
      <c r="H221" s="11" t="str">
        <f t="shared" si="26"/>
        <v>初中</v>
      </c>
      <c r="I221" s="11" t="str">
        <f t="shared" si="28"/>
        <v>209:生物</v>
      </c>
      <c r="J221" s="11"/>
      <c r="K221" s="1" t="s">
        <v>26</v>
      </c>
      <c r="L221" s="22">
        <v>84.71</v>
      </c>
      <c r="M221" s="21">
        <v>6</v>
      </c>
      <c r="N221" s="20"/>
    </row>
    <row r="222" spans="1:14" s="10" customFormat="1" ht="33" customHeight="1">
      <c r="A222" s="11">
        <v>219</v>
      </c>
      <c r="B222" s="11" t="str">
        <f>"韦凤凤"</f>
        <v>韦凤凤</v>
      </c>
      <c r="C222" s="11" t="str">
        <f>"女        "</f>
        <v xml:space="preserve">女        </v>
      </c>
      <c r="D222" s="11" t="str">
        <f>"布依族"</f>
        <v>布依族</v>
      </c>
      <c r="E222" s="11" t="str">
        <f>"522327199501160020"</f>
        <v>522327199501160020</v>
      </c>
      <c r="F222" s="11" t="str">
        <f>"18786637308"</f>
        <v>18786637308</v>
      </c>
      <c r="G222" s="11" t="str">
        <f>"贵州省册亨县者楼镇册阳村"</f>
        <v>贵州省册亨县者楼镇册阳村</v>
      </c>
      <c r="H222" s="11" t="str">
        <f t="shared" si="26"/>
        <v>初中</v>
      </c>
      <c r="I222" s="11" t="str">
        <f t="shared" si="28"/>
        <v>209:生物</v>
      </c>
      <c r="J222" s="11"/>
      <c r="K222" s="1" t="s">
        <v>26</v>
      </c>
      <c r="L222" s="22">
        <v>84.4</v>
      </c>
      <c r="M222" s="21">
        <v>7</v>
      </c>
      <c r="N222" s="20"/>
    </row>
    <row r="223" spans="1:14" s="10" customFormat="1" ht="33" customHeight="1">
      <c r="A223" s="11">
        <v>220</v>
      </c>
      <c r="B223" s="11" t="str">
        <f>"王利春"</f>
        <v>王利春</v>
      </c>
      <c r="C223" s="11" t="str">
        <f>"女        "</f>
        <v xml:space="preserve">女        </v>
      </c>
      <c r="D223" s="11" t="str">
        <f>"布依族"</f>
        <v>布依族</v>
      </c>
      <c r="E223" s="11" t="str">
        <f>"522328199407086166"</f>
        <v>522328199407086166</v>
      </c>
      <c r="F223" s="11" t="str">
        <f>"13595341961"</f>
        <v>13595341961</v>
      </c>
      <c r="G223" s="11" t="str">
        <f>"贵州省安龙县坡脚乡乐欢村一组"</f>
        <v>贵州省安龙县坡脚乡乐欢村一组</v>
      </c>
      <c r="H223" s="11" t="str">
        <f t="shared" si="26"/>
        <v>初中</v>
      </c>
      <c r="I223" s="11" t="str">
        <f t="shared" si="28"/>
        <v>209:生物</v>
      </c>
      <c r="J223" s="11"/>
      <c r="K223" s="1" t="s">
        <v>26</v>
      </c>
      <c r="L223" s="22">
        <v>83.87</v>
      </c>
      <c r="M223" s="21">
        <v>8</v>
      </c>
      <c r="N223" s="20"/>
    </row>
    <row r="224" spans="1:14" s="10" customFormat="1" ht="33" customHeight="1">
      <c r="A224" s="11">
        <v>221</v>
      </c>
      <c r="B224" s="11" t="str">
        <f>"杨胜暑"</f>
        <v>杨胜暑</v>
      </c>
      <c r="C224" s="11" t="str">
        <f>"女        "</f>
        <v xml:space="preserve">女        </v>
      </c>
      <c r="D224" s="11" t="str">
        <f>"布依族"</f>
        <v>布依族</v>
      </c>
      <c r="E224" s="11" t="str">
        <f>"522326199603123021"</f>
        <v>522326199603123021</v>
      </c>
      <c r="F224" s="11" t="str">
        <f>"15211071334"</f>
        <v>15211071334</v>
      </c>
      <c r="G224" s="11" t="str">
        <f>"贵州省望谟县郊纳乡大课六村打从一组"</f>
        <v>贵州省望谟县郊纳乡大课六村打从一组</v>
      </c>
      <c r="H224" s="11" t="str">
        <f t="shared" si="26"/>
        <v>初中</v>
      </c>
      <c r="I224" s="11" t="str">
        <f t="shared" si="28"/>
        <v>209:生物</v>
      </c>
      <c r="J224" s="11"/>
      <c r="K224" s="1" t="s">
        <v>26</v>
      </c>
      <c r="L224" s="22">
        <v>83.06</v>
      </c>
      <c r="M224" s="21">
        <v>9</v>
      </c>
      <c r="N224" s="20"/>
    </row>
    <row r="225" spans="1:14" s="10" customFormat="1" ht="33" customHeight="1">
      <c r="A225" s="11">
        <v>222</v>
      </c>
      <c r="B225" s="11" t="str">
        <f>"杨胜梅"</f>
        <v>杨胜梅</v>
      </c>
      <c r="C225" s="11" t="str">
        <f>"女        "</f>
        <v xml:space="preserve">女        </v>
      </c>
      <c r="D225" s="11" t="str">
        <f>"苗族"</f>
        <v>苗族</v>
      </c>
      <c r="E225" s="11" t="str">
        <f>"522622199207290523"</f>
        <v>522622199207290523</v>
      </c>
      <c r="F225" s="11" t="str">
        <f>"15870338009"</f>
        <v>15870338009</v>
      </c>
      <c r="G225" s="11" t="str">
        <f>"贵州省黄平县旧州镇文峰村七组"</f>
        <v>贵州省黄平县旧州镇文峰村七组</v>
      </c>
      <c r="H225" s="11" t="str">
        <f t="shared" si="26"/>
        <v>初中</v>
      </c>
      <c r="I225" s="11" t="str">
        <f t="shared" si="28"/>
        <v>209:生物</v>
      </c>
      <c r="J225" s="11"/>
      <c r="K225" s="1" t="s">
        <v>26</v>
      </c>
      <c r="L225" s="22">
        <v>82.64</v>
      </c>
      <c r="M225" s="21">
        <v>10</v>
      </c>
      <c r="N225" s="20"/>
    </row>
    <row r="226" spans="1:14" s="10" customFormat="1" ht="33" customHeight="1">
      <c r="A226" s="11">
        <v>223</v>
      </c>
      <c r="B226" s="11" t="str">
        <f>"孔鑫"</f>
        <v>孔鑫</v>
      </c>
      <c r="C226" s="11" t="str">
        <f>"男        "</f>
        <v xml:space="preserve">男        </v>
      </c>
      <c r="D226" s="11" t="str">
        <f>"汉族"</f>
        <v>汉族</v>
      </c>
      <c r="E226" s="11" t="str">
        <f>"530381199407253317"</f>
        <v>530381199407253317</v>
      </c>
      <c r="F226" s="11" t="str">
        <f>"15769848372"</f>
        <v>15769848372</v>
      </c>
      <c r="G226" s="11" t="str">
        <f>"云南省宣威市杨柳乡水塘村下洋洞社"</f>
        <v>云南省宣威市杨柳乡水塘村下洋洞社</v>
      </c>
      <c r="H226" s="11" t="str">
        <f t="shared" si="26"/>
        <v>初中</v>
      </c>
      <c r="I226" s="11" t="str">
        <f t="shared" si="28"/>
        <v>209:生物</v>
      </c>
      <c r="J226" s="11"/>
      <c r="K226" s="1" t="s">
        <v>26</v>
      </c>
      <c r="L226" s="22">
        <v>81.400000000000006</v>
      </c>
      <c r="M226" s="21">
        <v>11</v>
      </c>
      <c r="N226" s="20"/>
    </row>
    <row r="227" spans="1:14" s="10" customFormat="1" ht="33" customHeight="1">
      <c r="A227" s="11">
        <v>224</v>
      </c>
      <c r="B227" s="11" t="str">
        <f>"韦珍妮"</f>
        <v>韦珍妮</v>
      </c>
      <c r="C227" s="11" t="str">
        <f>"女        "</f>
        <v xml:space="preserve">女        </v>
      </c>
      <c r="D227" s="11" t="str">
        <f>"壮族"</f>
        <v>壮族</v>
      </c>
      <c r="E227" s="11" t="str">
        <f>"452631199404272621"</f>
        <v>452631199404272621</v>
      </c>
      <c r="F227" s="11" t="str">
        <f>"13768060165"</f>
        <v>13768060165</v>
      </c>
      <c r="G227" s="11" t="str">
        <f>"广西百色市隆林县新州镇新兴社区迎宾路1766号"</f>
        <v>广西百色市隆林县新州镇新兴社区迎宾路1766号</v>
      </c>
      <c r="H227" s="11" t="str">
        <f t="shared" si="26"/>
        <v>初中</v>
      </c>
      <c r="I227" s="11" t="str">
        <f t="shared" si="28"/>
        <v>209:生物</v>
      </c>
      <c r="J227" s="11"/>
      <c r="K227" s="1" t="s">
        <v>26</v>
      </c>
      <c r="L227" s="22">
        <v>80.86</v>
      </c>
      <c r="M227" s="21">
        <v>12</v>
      </c>
      <c r="N227" s="20"/>
    </row>
    <row r="228" spans="1:14" s="10" customFormat="1" ht="33" customHeight="1">
      <c r="A228" s="11">
        <v>225</v>
      </c>
      <c r="B228" s="11" t="str">
        <f>"何艳香"</f>
        <v>何艳香</v>
      </c>
      <c r="C228" s="11" t="str">
        <f>"女        "</f>
        <v xml:space="preserve">女        </v>
      </c>
      <c r="D228" s="11" t="str">
        <f>"壮族"</f>
        <v>壮族</v>
      </c>
      <c r="E228" s="11" t="str">
        <f>"532627199501294123"</f>
        <v>532627199501294123</v>
      </c>
      <c r="F228" s="11" t="str">
        <f>"18308769216"</f>
        <v>18308769216</v>
      </c>
      <c r="G228" s="11" t="str">
        <f>"云南省文山州广南县坝美镇洛里村弄追组"</f>
        <v>云南省文山州广南县坝美镇洛里村弄追组</v>
      </c>
      <c r="H228" s="11" t="str">
        <f t="shared" si="26"/>
        <v>初中</v>
      </c>
      <c r="I228" s="11" t="str">
        <f t="shared" si="28"/>
        <v>209:生物</v>
      </c>
      <c r="J228" s="11"/>
      <c r="K228" s="1" t="s">
        <v>26</v>
      </c>
      <c r="L228" s="22">
        <v>79.099999999999994</v>
      </c>
      <c r="M228" s="21">
        <v>13</v>
      </c>
      <c r="N228" s="20"/>
    </row>
    <row r="229" spans="1:14" s="10" customFormat="1" ht="33" customHeight="1">
      <c r="A229" s="11">
        <v>226</v>
      </c>
      <c r="B229" s="11" t="str">
        <f>"郭刘平"</f>
        <v>郭刘平</v>
      </c>
      <c r="C229" s="11" t="str">
        <f t="shared" ref="C229:C236" si="29">"男        "</f>
        <v xml:space="preserve">男        </v>
      </c>
      <c r="D229" s="11" t="str">
        <f>"汉族"</f>
        <v>汉族</v>
      </c>
      <c r="E229" s="11" t="str">
        <f>"530324199106270319"</f>
        <v>530324199106270319</v>
      </c>
      <c r="F229" s="11" t="str">
        <f>"13628749493"</f>
        <v>13628749493</v>
      </c>
      <c r="G229" s="11" t="str">
        <f>"云南省曲靖市罗平县"</f>
        <v>云南省曲靖市罗平县</v>
      </c>
      <c r="H229" s="11" t="str">
        <f t="shared" si="26"/>
        <v>初中</v>
      </c>
      <c r="I229" s="11" t="str">
        <f t="shared" si="28"/>
        <v>209:生物</v>
      </c>
      <c r="J229" s="11"/>
      <c r="K229" s="1" t="s">
        <v>26</v>
      </c>
      <c r="L229" s="22">
        <v>70.209999999999994</v>
      </c>
      <c r="M229" s="21">
        <v>14</v>
      </c>
      <c r="N229" s="20"/>
    </row>
    <row r="230" spans="1:14" s="10" customFormat="1" ht="33" customHeight="1">
      <c r="A230" s="11">
        <v>227</v>
      </c>
      <c r="B230" s="11" t="str">
        <f>"高计"</f>
        <v>高计</v>
      </c>
      <c r="C230" s="11" t="str">
        <f t="shared" si="29"/>
        <v xml:space="preserve">男        </v>
      </c>
      <c r="D230" s="11" t="str">
        <f>"汉族"</f>
        <v>汉族</v>
      </c>
      <c r="E230" s="11" t="str">
        <f>"530326199503283634"</f>
        <v>530326199503283634</v>
      </c>
      <c r="F230" s="11" t="str">
        <f>"15087120985"</f>
        <v>15087120985</v>
      </c>
      <c r="G230" s="11" t="str">
        <f>"云南省曲靖市会泽县"</f>
        <v>云南省曲靖市会泽县</v>
      </c>
      <c r="H230" s="11" t="str">
        <f t="shared" si="26"/>
        <v>初中</v>
      </c>
      <c r="I230" s="11" t="str">
        <f t="shared" si="28"/>
        <v>209:生物</v>
      </c>
      <c r="J230" s="11"/>
      <c r="K230" s="1" t="s">
        <v>26</v>
      </c>
      <c r="L230" s="24" t="s">
        <v>45</v>
      </c>
      <c r="M230" s="21">
        <v>15</v>
      </c>
      <c r="N230" s="20"/>
    </row>
    <row r="231" spans="1:14" s="10" customFormat="1" ht="33" customHeight="1">
      <c r="A231" s="11">
        <v>228</v>
      </c>
      <c r="B231" s="11" t="str">
        <f>"黄文志"</f>
        <v>黄文志</v>
      </c>
      <c r="C231" s="11" t="str">
        <f t="shared" si="29"/>
        <v xml:space="preserve">男        </v>
      </c>
      <c r="D231" s="11" t="str">
        <f>"壮族"</f>
        <v>壮族</v>
      </c>
      <c r="E231" s="11" t="str">
        <f>"452631199403100772"</f>
        <v>452631199403100772</v>
      </c>
      <c r="F231" s="11" t="str">
        <f>"18707724327"</f>
        <v>18707724327</v>
      </c>
      <c r="G231" s="11" t="str">
        <f>"广西百色市隆林县平班镇委哉村弄乃屯"</f>
        <v>广西百色市隆林县平班镇委哉村弄乃屯</v>
      </c>
      <c r="H231" s="11" t="str">
        <f t="shared" si="26"/>
        <v>初中</v>
      </c>
      <c r="I231" s="11" t="str">
        <f t="shared" ref="I231:I242" si="30">"210:物理"</f>
        <v>210:物理</v>
      </c>
      <c r="J231" s="11"/>
      <c r="K231" s="11" t="s">
        <v>30</v>
      </c>
      <c r="L231" s="22">
        <v>86.9</v>
      </c>
      <c r="M231" s="28">
        <v>1</v>
      </c>
      <c r="N231" s="20" t="s">
        <v>46</v>
      </c>
    </row>
    <row r="232" spans="1:14" s="10" customFormat="1" ht="33" customHeight="1">
      <c r="A232" s="11">
        <v>229</v>
      </c>
      <c r="B232" s="11" t="str">
        <f>"张涛"</f>
        <v>张涛</v>
      </c>
      <c r="C232" s="11" t="str">
        <f t="shared" si="29"/>
        <v xml:space="preserve">男        </v>
      </c>
      <c r="D232" s="11" t="str">
        <f>"白族"</f>
        <v>白族</v>
      </c>
      <c r="E232" s="11" t="str">
        <f>"52242219941227701X"</f>
        <v>52242219941227701X</v>
      </c>
      <c r="F232" s="11" t="str">
        <f>"18785931290"</f>
        <v>18785931290</v>
      </c>
      <c r="G232" s="11" t="str">
        <f>"贵州省大方县大山乡光华村东方组"</f>
        <v>贵州省大方县大山乡光华村东方组</v>
      </c>
      <c r="H232" s="11" t="str">
        <f t="shared" si="26"/>
        <v>初中</v>
      </c>
      <c r="I232" s="11" t="str">
        <f t="shared" si="30"/>
        <v>210:物理</v>
      </c>
      <c r="J232" s="11"/>
      <c r="K232" s="11" t="s">
        <v>30</v>
      </c>
      <c r="L232" s="22">
        <v>84.16</v>
      </c>
      <c r="M232" s="28">
        <v>2</v>
      </c>
      <c r="N232" s="20" t="s">
        <v>46</v>
      </c>
    </row>
    <row r="233" spans="1:14" s="10" customFormat="1" ht="33" customHeight="1">
      <c r="A233" s="11">
        <v>230</v>
      </c>
      <c r="B233" s="11" t="str">
        <f>"余天兵"</f>
        <v>余天兵</v>
      </c>
      <c r="C233" s="11" t="str">
        <f t="shared" si="29"/>
        <v xml:space="preserve">男        </v>
      </c>
      <c r="D233" s="11" t="str">
        <f>"布依族"</f>
        <v>布依族</v>
      </c>
      <c r="E233" s="11" t="str">
        <f>"522325199411011619"</f>
        <v>522325199411011619</v>
      </c>
      <c r="F233" s="11" t="str">
        <f>"18476617672"</f>
        <v>18476617672</v>
      </c>
      <c r="G233" s="11" t="str">
        <f>"贵州省贞丰县龙场镇对门山村庞家湾组"</f>
        <v>贵州省贞丰县龙场镇对门山村庞家湾组</v>
      </c>
      <c r="H233" s="11" t="str">
        <f t="shared" si="26"/>
        <v>初中</v>
      </c>
      <c r="I233" s="11" t="str">
        <f t="shared" si="30"/>
        <v>210:物理</v>
      </c>
      <c r="J233" s="11"/>
      <c r="K233" s="11" t="s">
        <v>30</v>
      </c>
      <c r="L233" s="22">
        <v>83.54</v>
      </c>
      <c r="M233" s="28">
        <v>3</v>
      </c>
      <c r="N233" s="20" t="s">
        <v>46</v>
      </c>
    </row>
    <row r="234" spans="1:14" s="10" customFormat="1" ht="33" customHeight="1">
      <c r="A234" s="11">
        <v>231</v>
      </c>
      <c r="B234" s="11" t="str">
        <f>"滕明旺"</f>
        <v>滕明旺</v>
      </c>
      <c r="C234" s="11" t="str">
        <f t="shared" si="29"/>
        <v xml:space="preserve">男        </v>
      </c>
      <c r="D234" s="11" t="str">
        <f>"侗族"</f>
        <v>侗族</v>
      </c>
      <c r="E234" s="11" t="str">
        <f>"522326199212103015"</f>
        <v>522326199212103015</v>
      </c>
      <c r="F234" s="11" t="str">
        <f>"18296080400"</f>
        <v>18296080400</v>
      </c>
      <c r="G234" s="11" t="str">
        <f>"贵州省望谟县郊纳乡长十干村采山组"</f>
        <v>贵州省望谟县郊纳乡长十干村采山组</v>
      </c>
      <c r="H234" s="11" t="str">
        <f t="shared" si="26"/>
        <v>初中</v>
      </c>
      <c r="I234" s="11" t="str">
        <f t="shared" si="30"/>
        <v>210:物理</v>
      </c>
      <c r="J234" s="11"/>
      <c r="K234" s="11" t="s">
        <v>30</v>
      </c>
      <c r="L234" s="22">
        <v>82.94</v>
      </c>
      <c r="M234" s="28">
        <v>4</v>
      </c>
      <c r="N234" s="20" t="s">
        <v>46</v>
      </c>
    </row>
    <row r="235" spans="1:14" s="10" customFormat="1" ht="33" customHeight="1">
      <c r="A235" s="11">
        <v>232</v>
      </c>
      <c r="B235" s="11" t="str">
        <f>"常鸽"</f>
        <v>常鸽</v>
      </c>
      <c r="C235" s="11" t="str">
        <f t="shared" si="29"/>
        <v xml:space="preserve">男        </v>
      </c>
      <c r="D235" s="11" t="str">
        <f>"汉族"</f>
        <v>汉族</v>
      </c>
      <c r="E235" s="11" t="str">
        <f>"530421199508301911"</f>
        <v>530421199508301911</v>
      </c>
      <c r="F235" s="11" t="str">
        <f>"18387796343"</f>
        <v>18387796343</v>
      </c>
      <c r="G235" s="11" t="str">
        <f>"云南省玉溪市江川区九溪镇喜乐庄村委会喜乐庄村261号"</f>
        <v>云南省玉溪市江川区九溪镇喜乐庄村委会喜乐庄村261号</v>
      </c>
      <c r="H235" s="11" t="str">
        <f t="shared" si="26"/>
        <v>初中</v>
      </c>
      <c r="I235" s="11" t="str">
        <f t="shared" si="30"/>
        <v>210:物理</v>
      </c>
      <c r="J235" s="11"/>
      <c r="K235" s="11" t="s">
        <v>30</v>
      </c>
      <c r="L235" s="22">
        <v>82.84</v>
      </c>
      <c r="M235" s="28">
        <v>5</v>
      </c>
      <c r="N235" s="20" t="s">
        <v>46</v>
      </c>
    </row>
    <row r="236" spans="1:14" s="10" customFormat="1" ht="33" customHeight="1">
      <c r="A236" s="11">
        <v>233</v>
      </c>
      <c r="B236" s="11" t="str">
        <f>"王小超"</f>
        <v>王小超</v>
      </c>
      <c r="C236" s="11" t="str">
        <f t="shared" si="29"/>
        <v xml:space="preserve">男        </v>
      </c>
      <c r="D236" s="11" t="str">
        <f>"汉族"</f>
        <v>汉族</v>
      </c>
      <c r="E236" s="11" t="str">
        <f>"530324199503181731"</f>
        <v>530324199503181731</v>
      </c>
      <c r="F236" s="11" t="str">
        <f>"13033305444"</f>
        <v>13033305444</v>
      </c>
      <c r="G236" s="11" t="str">
        <f>"云南省曲靖市罗平县马街镇马街居委会阿市村"</f>
        <v>云南省曲靖市罗平县马街镇马街居委会阿市村</v>
      </c>
      <c r="H236" s="11" t="str">
        <f t="shared" si="26"/>
        <v>初中</v>
      </c>
      <c r="I236" s="11" t="str">
        <f t="shared" si="30"/>
        <v>210:物理</v>
      </c>
      <c r="J236" s="11"/>
      <c r="K236" s="11" t="s">
        <v>30</v>
      </c>
      <c r="L236" s="22">
        <v>81.8</v>
      </c>
      <c r="M236" s="21">
        <v>6</v>
      </c>
      <c r="N236" s="20"/>
    </row>
    <row r="237" spans="1:14" s="10" customFormat="1" ht="33" customHeight="1">
      <c r="A237" s="11">
        <v>234</v>
      </c>
      <c r="B237" s="11" t="str">
        <f>"余丽芳"</f>
        <v>余丽芳</v>
      </c>
      <c r="C237" s="11" t="str">
        <f>"女        "</f>
        <v xml:space="preserve">女        </v>
      </c>
      <c r="D237" s="11" t="str">
        <f>"汉族"</f>
        <v>汉族</v>
      </c>
      <c r="E237" s="11" t="str">
        <f>"530328199503042163"</f>
        <v>530328199503042163</v>
      </c>
      <c r="F237" s="11" t="str">
        <f>"15008837950"</f>
        <v>15008837950</v>
      </c>
      <c r="G237" s="11" t="str">
        <f>"云南省曲靖市沾益县炎方乡"</f>
        <v>云南省曲靖市沾益县炎方乡</v>
      </c>
      <c r="H237" s="11" t="str">
        <f t="shared" si="26"/>
        <v>初中</v>
      </c>
      <c r="I237" s="11" t="str">
        <f t="shared" si="30"/>
        <v>210:物理</v>
      </c>
      <c r="J237" s="11"/>
      <c r="K237" s="11" t="s">
        <v>30</v>
      </c>
      <c r="L237" s="22">
        <v>81.680000000000007</v>
      </c>
      <c r="M237" s="21">
        <v>7</v>
      </c>
      <c r="N237" s="20"/>
    </row>
    <row r="238" spans="1:14" s="10" customFormat="1" ht="33" customHeight="1">
      <c r="A238" s="11">
        <v>235</v>
      </c>
      <c r="B238" s="11" t="str">
        <f>"农承雄"</f>
        <v>农承雄</v>
      </c>
      <c r="C238" s="11" t="str">
        <f>"男        "</f>
        <v xml:space="preserve">男        </v>
      </c>
      <c r="D238" s="11" t="str">
        <f>"壮族"</f>
        <v>壮族</v>
      </c>
      <c r="E238" s="11" t="str">
        <f>"532627199509043919"</f>
        <v>532627199509043919</v>
      </c>
      <c r="F238" s="11" t="str">
        <f>"15758729058"</f>
        <v>15758729058</v>
      </c>
      <c r="G238" s="11" t="str">
        <f>"云南省文山州广南县坝美镇普南村安卡小组"</f>
        <v>云南省文山州广南县坝美镇普南村安卡小组</v>
      </c>
      <c r="H238" s="11" t="str">
        <f t="shared" si="26"/>
        <v>初中</v>
      </c>
      <c r="I238" s="11" t="str">
        <f t="shared" si="30"/>
        <v>210:物理</v>
      </c>
      <c r="J238" s="11"/>
      <c r="K238" s="11" t="s">
        <v>30</v>
      </c>
      <c r="L238" s="22">
        <v>79.599999999999994</v>
      </c>
      <c r="M238" s="21">
        <v>8</v>
      </c>
      <c r="N238" s="20"/>
    </row>
    <row r="239" spans="1:14" s="10" customFormat="1" ht="33" customHeight="1">
      <c r="A239" s="11">
        <v>236</v>
      </c>
      <c r="B239" s="11" t="str">
        <f>"潘光礼"</f>
        <v>潘光礼</v>
      </c>
      <c r="C239" s="11" t="str">
        <f>"男        "</f>
        <v xml:space="preserve">男        </v>
      </c>
      <c r="D239" s="11" t="str">
        <f>"壮族"</f>
        <v>壮族</v>
      </c>
      <c r="E239" s="11" t="str">
        <f>"532627199411013930"</f>
        <v>532627199411013930</v>
      </c>
      <c r="F239" s="11" t="str">
        <f>"18896336593"</f>
        <v>18896336593</v>
      </c>
      <c r="G239" s="11" t="str">
        <f>"云南省文山州广南县坝美镇者卡村"</f>
        <v>云南省文山州广南县坝美镇者卡村</v>
      </c>
      <c r="H239" s="11" t="str">
        <f t="shared" si="26"/>
        <v>初中</v>
      </c>
      <c r="I239" s="11" t="str">
        <f t="shared" si="30"/>
        <v>210:物理</v>
      </c>
      <c r="J239" s="11"/>
      <c r="K239" s="11" t="s">
        <v>30</v>
      </c>
      <c r="L239" s="22">
        <v>79.540000000000006</v>
      </c>
      <c r="M239" s="21">
        <v>9</v>
      </c>
      <c r="N239" s="20"/>
    </row>
    <row r="240" spans="1:14" s="10" customFormat="1" ht="33" customHeight="1">
      <c r="A240" s="11">
        <v>237</v>
      </c>
      <c r="B240" s="11" t="str">
        <f>"胡昌米"</f>
        <v>胡昌米</v>
      </c>
      <c r="C240" s="11" t="str">
        <f>"女        "</f>
        <v xml:space="preserve">女        </v>
      </c>
      <c r="D240" s="11" t="str">
        <f>"彝族"</f>
        <v>彝族</v>
      </c>
      <c r="E240" s="11" t="str">
        <f>"520202199312168424"</f>
        <v>520202199312168424</v>
      </c>
      <c r="F240" s="11" t="str">
        <f>"15121579739"</f>
        <v>15121579739</v>
      </c>
      <c r="G240" s="11" t="str">
        <f>"贵州省盘县马场乡三寨村六组"</f>
        <v>贵州省盘县马场乡三寨村六组</v>
      </c>
      <c r="H240" s="11" t="str">
        <f t="shared" si="26"/>
        <v>初中</v>
      </c>
      <c r="I240" s="11" t="str">
        <f t="shared" si="30"/>
        <v>210:物理</v>
      </c>
      <c r="J240" s="11"/>
      <c r="K240" s="11" t="s">
        <v>30</v>
      </c>
      <c r="L240" s="22">
        <v>79.06</v>
      </c>
      <c r="M240" s="21">
        <v>10</v>
      </c>
      <c r="N240" s="20"/>
    </row>
    <row r="241" spans="1:14" s="10" customFormat="1" ht="33" customHeight="1">
      <c r="A241" s="11">
        <v>238</v>
      </c>
      <c r="B241" s="11" t="str">
        <f>"杨铭"</f>
        <v>杨铭</v>
      </c>
      <c r="C241" s="11" t="str">
        <f>"男        "</f>
        <v xml:space="preserve">男        </v>
      </c>
      <c r="D241" s="11" t="str">
        <f>"汉族"</f>
        <v>汉族</v>
      </c>
      <c r="E241" s="11" t="str">
        <f>"530381199510100538"</f>
        <v>530381199510100538</v>
      </c>
      <c r="F241" s="11" t="str">
        <f>"15187402059"</f>
        <v>15187402059</v>
      </c>
      <c r="G241" s="11" t="str">
        <f>"云南省昆明市官渡区矣六街道子君村居安园9栋1单元704"</f>
        <v>云南省昆明市官渡区矣六街道子君村居安园9栋1单元704</v>
      </c>
      <c r="H241" s="11" t="str">
        <f t="shared" si="26"/>
        <v>初中</v>
      </c>
      <c r="I241" s="11" t="str">
        <f t="shared" si="30"/>
        <v>210:物理</v>
      </c>
      <c r="J241" s="11"/>
      <c r="K241" s="11" t="s">
        <v>30</v>
      </c>
      <c r="L241" s="22">
        <v>77.739999999999995</v>
      </c>
      <c r="M241" s="21">
        <v>11</v>
      </c>
      <c r="N241" s="20"/>
    </row>
    <row r="242" spans="1:14" s="10" customFormat="1" ht="33" customHeight="1">
      <c r="A242" s="11">
        <v>239</v>
      </c>
      <c r="B242" s="11" t="str">
        <f>"曹静"</f>
        <v>曹静</v>
      </c>
      <c r="C242" s="11" t="str">
        <f>"女        "</f>
        <v xml:space="preserve">女        </v>
      </c>
      <c r="D242" s="11" t="str">
        <f>"阿昌族"</f>
        <v>阿昌族</v>
      </c>
      <c r="E242" s="11" t="str">
        <f>"533122199109081424"</f>
        <v>533122199109081424</v>
      </c>
      <c r="F242" s="11" t="str">
        <f>"18287580837"</f>
        <v>18287580837</v>
      </c>
      <c r="G242" s="11" t="str">
        <f>"云南省德宏州梁河县"</f>
        <v>云南省德宏州梁河县</v>
      </c>
      <c r="H242" s="11" t="str">
        <f t="shared" si="26"/>
        <v>初中</v>
      </c>
      <c r="I242" s="11" t="str">
        <f t="shared" si="30"/>
        <v>210:物理</v>
      </c>
      <c r="J242" s="11"/>
      <c r="K242" s="11" t="s">
        <v>30</v>
      </c>
      <c r="L242" s="24" t="s">
        <v>45</v>
      </c>
      <c r="M242" s="21">
        <v>12</v>
      </c>
      <c r="N242" s="20"/>
    </row>
    <row r="243" spans="1:14" s="10" customFormat="1" ht="33" customHeight="1">
      <c r="A243" s="11">
        <v>240</v>
      </c>
      <c r="B243" s="11" t="str">
        <f>"许艳永"</f>
        <v>许艳永</v>
      </c>
      <c r="C243" s="11" t="str">
        <f>"男        "</f>
        <v xml:space="preserve">男        </v>
      </c>
      <c r="D243" s="11" t="str">
        <f>"汉族"</f>
        <v>汉族</v>
      </c>
      <c r="E243" s="11" t="str">
        <f>"530328199104232453"</f>
        <v>530328199104232453</v>
      </c>
      <c r="F243" s="11" t="str">
        <f>"18760952853"</f>
        <v>18760952853</v>
      </c>
      <c r="G243" s="11" t="str">
        <f>"云南省曲靖市沾益县盘江镇中村村委会青维村19号"</f>
        <v>云南省曲靖市沾益县盘江镇中村村委会青维村19号</v>
      </c>
      <c r="H243" s="11" t="str">
        <f t="shared" ref="H243:H274" si="31">"小学"</f>
        <v>小学</v>
      </c>
      <c r="I243" s="11" t="str">
        <f t="shared" ref="I243:I274" si="32">"103:数学"</f>
        <v>103:数学</v>
      </c>
      <c r="J243" s="11" t="s">
        <v>14</v>
      </c>
      <c r="K243" s="13" t="s">
        <v>36</v>
      </c>
      <c r="L243" s="22">
        <v>89.3</v>
      </c>
      <c r="M243" s="28">
        <v>1</v>
      </c>
      <c r="N243" s="20" t="s">
        <v>46</v>
      </c>
    </row>
    <row r="244" spans="1:14" s="10" customFormat="1" ht="33" customHeight="1">
      <c r="A244" s="11">
        <v>241</v>
      </c>
      <c r="B244" s="11" t="str">
        <f>"顾德明"</f>
        <v>顾德明</v>
      </c>
      <c r="C244" s="11" t="str">
        <f>"男        "</f>
        <v xml:space="preserve">男        </v>
      </c>
      <c r="D244" s="11" t="str">
        <f>"汉族"</f>
        <v>汉族</v>
      </c>
      <c r="E244" s="11" t="str">
        <f>"522328199609140810"</f>
        <v>522328199609140810</v>
      </c>
      <c r="F244" s="11" t="str">
        <f>"17716602627"</f>
        <v>17716602627</v>
      </c>
      <c r="G244" s="11" t="str">
        <f>"贵州省安龙县龙广镇双合村顾屯四组3号"</f>
        <v>贵州省安龙县龙广镇双合村顾屯四组3号</v>
      </c>
      <c r="H244" s="11" t="str">
        <f t="shared" si="31"/>
        <v>小学</v>
      </c>
      <c r="I244" s="11" t="str">
        <f t="shared" si="32"/>
        <v>103:数学</v>
      </c>
      <c r="J244" s="11" t="s">
        <v>14</v>
      </c>
      <c r="K244" s="13" t="s">
        <v>36</v>
      </c>
      <c r="L244" s="22">
        <v>86.6</v>
      </c>
      <c r="M244" s="28">
        <v>2</v>
      </c>
      <c r="N244" s="20" t="s">
        <v>46</v>
      </c>
    </row>
    <row r="245" spans="1:14" s="10" customFormat="1" ht="33" customHeight="1">
      <c r="A245" s="11">
        <v>242</v>
      </c>
      <c r="B245" s="11" t="str">
        <f>"张胜"</f>
        <v>张胜</v>
      </c>
      <c r="C245" s="11" t="str">
        <f>"男        "</f>
        <v xml:space="preserve">男        </v>
      </c>
      <c r="D245" s="11" t="str">
        <f>"汉族"</f>
        <v>汉族</v>
      </c>
      <c r="E245" s="11" t="str">
        <f>"522322199211082317"</f>
        <v>522322199211082317</v>
      </c>
      <c r="F245" s="11" t="str">
        <f>"15186478861"</f>
        <v>15186478861</v>
      </c>
      <c r="G245" s="11" t="str">
        <f>"贵州省兴仁县下山镇白岩村下寨组5号"</f>
        <v>贵州省兴仁县下山镇白岩村下寨组5号</v>
      </c>
      <c r="H245" s="11" t="str">
        <f t="shared" si="31"/>
        <v>小学</v>
      </c>
      <c r="I245" s="11" t="str">
        <f t="shared" si="32"/>
        <v>103:数学</v>
      </c>
      <c r="J245" s="11" t="s">
        <v>14</v>
      </c>
      <c r="K245" s="13" t="s">
        <v>36</v>
      </c>
      <c r="L245" s="22">
        <v>86</v>
      </c>
      <c r="M245" s="21">
        <v>3</v>
      </c>
      <c r="N245" s="20"/>
    </row>
    <row r="246" spans="1:14" s="10" customFormat="1" ht="33" customHeight="1">
      <c r="A246" s="11">
        <v>243</v>
      </c>
      <c r="B246" s="11" t="str">
        <f>"李交丽"</f>
        <v>李交丽</v>
      </c>
      <c r="C246" s="11" t="str">
        <f>"女        "</f>
        <v xml:space="preserve">女        </v>
      </c>
      <c r="D246" s="11" t="str">
        <f>"汉族"</f>
        <v>汉族</v>
      </c>
      <c r="E246" s="11" t="str">
        <f>"53052519890501134X"</f>
        <v>53052519890501134X</v>
      </c>
      <c r="F246" s="11" t="str">
        <f>"15752232501"</f>
        <v>15752232501</v>
      </c>
      <c r="G246" s="11" t="str">
        <f>"云南省曲靖市富源县富村镇新店村委会小高寨村"</f>
        <v>云南省曲靖市富源县富村镇新店村委会小高寨村</v>
      </c>
      <c r="H246" s="11" t="str">
        <f t="shared" si="31"/>
        <v>小学</v>
      </c>
      <c r="I246" s="11" t="str">
        <f t="shared" si="32"/>
        <v>103:数学</v>
      </c>
      <c r="J246" s="11" t="s">
        <v>14</v>
      </c>
      <c r="K246" s="13" t="s">
        <v>36</v>
      </c>
      <c r="L246" s="22">
        <v>84.2</v>
      </c>
      <c r="M246" s="21">
        <v>4</v>
      </c>
      <c r="N246" s="20"/>
    </row>
    <row r="247" spans="1:14" s="10" customFormat="1" ht="33" customHeight="1">
      <c r="A247" s="11">
        <v>244</v>
      </c>
      <c r="B247" s="11" t="str">
        <f>"魏东梅"</f>
        <v>魏东梅</v>
      </c>
      <c r="C247" s="11" t="str">
        <f>"女        "</f>
        <v xml:space="preserve">女        </v>
      </c>
      <c r="D247" s="11" t="str">
        <f>"汉族"</f>
        <v>汉族</v>
      </c>
      <c r="E247" s="11" t="str">
        <f>"53032819910905182X"</f>
        <v>53032819910905182X</v>
      </c>
      <c r="F247" s="11" t="str">
        <f>"13708705125"</f>
        <v>13708705125</v>
      </c>
      <c r="G247" s="11" t="str">
        <f>"云南省曲靖市沾益区播乐乡水田村委会"</f>
        <v>云南省曲靖市沾益区播乐乡水田村委会</v>
      </c>
      <c r="H247" s="11" t="str">
        <f t="shared" si="31"/>
        <v>小学</v>
      </c>
      <c r="I247" s="11" t="str">
        <f t="shared" si="32"/>
        <v>103:数学</v>
      </c>
      <c r="J247" s="11" t="s">
        <v>14</v>
      </c>
      <c r="K247" s="13" t="s">
        <v>36</v>
      </c>
      <c r="L247" s="22">
        <v>84.1</v>
      </c>
      <c r="M247" s="21">
        <v>5</v>
      </c>
      <c r="N247" s="20"/>
    </row>
    <row r="248" spans="1:14" s="10" customFormat="1" ht="33" customHeight="1">
      <c r="A248" s="11">
        <v>245</v>
      </c>
      <c r="B248" s="11" t="str">
        <f>"周宗楷"</f>
        <v>周宗楷</v>
      </c>
      <c r="C248" s="11" t="str">
        <f>"男        "</f>
        <v xml:space="preserve">男        </v>
      </c>
      <c r="D248" s="11" t="str">
        <f>"侗族"</f>
        <v>侗族</v>
      </c>
      <c r="E248" s="11" t="str">
        <f>"522627199108090819"</f>
        <v>522627199108090819</v>
      </c>
      <c r="F248" s="11" t="str">
        <f>"18798770537"</f>
        <v>18798770537</v>
      </c>
      <c r="G248" s="11" t="str">
        <f>"贵州省天柱县渡马乡龙盘村"</f>
        <v>贵州省天柱县渡马乡龙盘村</v>
      </c>
      <c r="H248" s="11" t="str">
        <f t="shared" si="31"/>
        <v>小学</v>
      </c>
      <c r="I248" s="11" t="str">
        <f t="shared" si="32"/>
        <v>103:数学</v>
      </c>
      <c r="J248" s="11" t="s">
        <v>14</v>
      </c>
      <c r="K248" s="13" t="s">
        <v>36</v>
      </c>
      <c r="L248" s="22">
        <v>83</v>
      </c>
      <c r="M248" s="21">
        <v>6</v>
      </c>
      <c r="N248" s="20"/>
    </row>
    <row r="249" spans="1:14" s="10" customFormat="1" ht="33" customHeight="1">
      <c r="A249" s="11">
        <v>246</v>
      </c>
      <c r="B249" s="11" t="str">
        <f>"许会"</f>
        <v>许会</v>
      </c>
      <c r="C249" s="11" t="str">
        <f>"女        "</f>
        <v xml:space="preserve">女        </v>
      </c>
      <c r="D249" s="11" t="str">
        <f t="shared" ref="D249:D254" si="33">"汉族"</f>
        <v>汉族</v>
      </c>
      <c r="E249" s="11" t="str">
        <f>"522321198902051260"</f>
        <v>522321198902051260</v>
      </c>
      <c r="F249" s="11" t="str">
        <f>"15985498190"</f>
        <v>15985498190</v>
      </c>
      <c r="G249" s="11" t="str">
        <f>"贵州省黔西南州兴义市"</f>
        <v>贵州省黔西南州兴义市</v>
      </c>
      <c r="H249" s="11" t="str">
        <f t="shared" si="31"/>
        <v>小学</v>
      </c>
      <c r="I249" s="11" t="str">
        <f t="shared" si="32"/>
        <v>103:数学</v>
      </c>
      <c r="J249" s="11" t="s">
        <v>14</v>
      </c>
      <c r="K249" s="13" t="s">
        <v>36</v>
      </c>
      <c r="L249" s="22">
        <v>82.12</v>
      </c>
      <c r="M249" s="21">
        <v>7</v>
      </c>
      <c r="N249" s="20"/>
    </row>
    <row r="250" spans="1:14" s="10" customFormat="1" ht="33" customHeight="1">
      <c r="A250" s="11">
        <v>247</v>
      </c>
      <c r="B250" s="11" t="str">
        <f>"赵久兴"</f>
        <v>赵久兴</v>
      </c>
      <c r="C250" s="11" t="str">
        <f>"男        "</f>
        <v xml:space="preserve">男        </v>
      </c>
      <c r="D250" s="11" t="str">
        <f t="shared" si="33"/>
        <v>汉族</v>
      </c>
      <c r="E250" s="11" t="str">
        <f>"522322198901241536"</f>
        <v>522322198901241536</v>
      </c>
      <c r="F250" s="11" t="str">
        <f>"18375048087"</f>
        <v>18375048087</v>
      </c>
      <c r="G250" s="11" t="str">
        <f>"贵州省兴仁县波阳镇新寨村"</f>
        <v>贵州省兴仁县波阳镇新寨村</v>
      </c>
      <c r="H250" s="11" t="str">
        <f t="shared" si="31"/>
        <v>小学</v>
      </c>
      <c r="I250" s="11" t="str">
        <f t="shared" si="32"/>
        <v>103:数学</v>
      </c>
      <c r="J250" s="11" t="s">
        <v>14</v>
      </c>
      <c r="K250" s="13" t="s">
        <v>36</v>
      </c>
      <c r="L250" s="22">
        <v>78.7</v>
      </c>
      <c r="M250" s="21">
        <v>8</v>
      </c>
      <c r="N250" s="20"/>
    </row>
    <row r="251" spans="1:14" s="10" customFormat="1" ht="33" customHeight="1">
      <c r="A251" s="11">
        <v>248</v>
      </c>
      <c r="B251" s="11" t="str">
        <f>"田青云"</f>
        <v>田青云</v>
      </c>
      <c r="C251" s="11" t="str">
        <f>"女        "</f>
        <v xml:space="preserve">女        </v>
      </c>
      <c r="D251" s="11" t="str">
        <f t="shared" si="33"/>
        <v>汉族</v>
      </c>
      <c r="E251" s="11" t="str">
        <f>"452631199605190980"</f>
        <v>452631199605190980</v>
      </c>
      <c r="F251" s="11" t="str">
        <f>"15678056915"</f>
        <v>15678056915</v>
      </c>
      <c r="G251" s="11" t="str">
        <f>"广西百色隆林县隆或镇隆或村4屯009号"</f>
        <v>广西百色隆林县隆或镇隆或村4屯009号</v>
      </c>
      <c r="H251" s="11" t="str">
        <f t="shared" si="31"/>
        <v>小学</v>
      </c>
      <c r="I251" s="11" t="str">
        <f t="shared" si="32"/>
        <v>103:数学</v>
      </c>
      <c r="J251" s="11" t="s">
        <v>14</v>
      </c>
      <c r="K251" s="13" t="s">
        <v>36</v>
      </c>
      <c r="L251" s="22">
        <v>78.459999999999994</v>
      </c>
      <c r="M251" s="21">
        <v>9</v>
      </c>
      <c r="N251" s="20"/>
    </row>
    <row r="252" spans="1:14" s="10" customFormat="1" ht="33" customHeight="1">
      <c r="A252" s="11">
        <v>249</v>
      </c>
      <c r="B252" s="11" t="str">
        <f>"叶永慧"</f>
        <v>叶永慧</v>
      </c>
      <c r="C252" s="11" t="str">
        <f>"女        "</f>
        <v xml:space="preserve">女        </v>
      </c>
      <c r="D252" s="11" t="str">
        <f t="shared" si="33"/>
        <v>汉族</v>
      </c>
      <c r="E252" s="11" t="str">
        <f>"522326199607151687"</f>
        <v>522326199607151687</v>
      </c>
      <c r="F252" s="11" t="str">
        <f>"18208604090"</f>
        <v>18208604090</v>
      </c>
      <c r="G252" s="11" t="str">
        <f>"贵州省望谟县新屯镇交角村上组"</f>
        <v>贵州省望谟县新屯镇交角村上组</v>
      </c>
      <c r="H252" s="11" t="str">
        <f t="shared" si="31"/>
        <v>小学</v>
      </c>
      <c r="I252" s="11" t="str">
        <f t="shared" si="32"/>
        <v>103:数学</v>
      </c>
      <c r="J252" s="11" t="s">
        <v>14</v>
      </c>
      <c r="K252" s="13" t="s">
        <v>36</v>
      </c>
      <c r="L252" s="22">
        <v>73.8</v>
      </c>
      <c r="M252" s="21">
        <v>10</v>
      </c>
      <c r="N252" s="20"/>
    </row>
    <row r="253" spans="1:14" s="10" customFormat="1" ht="33" customHeight="1">
      <c r="A253" s="11">
        <v>250</v>
      </c>
      <c r="B253" s="11" t="str">
        <f>"倪元彩"</f>
        <v>倪元彩</v>
      </c>
      <c r="C253" s="11" t="str">
        <f>"女        "</f>
        <v xml:space="preserve">女        </v>
      </c>
      <c r="D253" s="11" t="str">
        <f t="shared" si="33"/>
        <v>汉族</v>
      </c>
      <c r="E253" s="11" t="str">
        <f>"452631199002080985"</f>
        <v>452631199002080985</v>
      </c>
      <c r="F253" s="11" t="str">
        <f>"17777687550"</f>
        <v>17777687550</v>
      </c>
      <c r="G253" s="11" t="str">
        <f>"广西百色市隆林县隆或乡道达村九屯"</f>
        <v>广西百色市隆林县隆或乡道达村九屯</v>
      </c>
      <c r="H253" s="11" t="str">
        <f t="shared" si="31"/>
        <v>小学</v>
      </c>
      <c r="I253" s="11" t="str">
        <f t="shared" si="32"/>
        <v>103:数学</v>
      </c>
      <c r="J253" s="11" t="s">
        <v>14</v>
      </c>
      <c r="K253" s="13" t="s">
        <v>36</v>
      </c>
      <c r="L253" s="22">
        <v>72.540000000000006</v>
      </c>
      <c r="M253" s="21">
        <v>11</v>
      </c>
      <c r="N253" s="20"/>
    </row>
    <row r="254" spans="1:14" s="10" customFormat="1" ht="33" customHeight="1">
      <c r="A254" s="11">
        <v>251</v>
      </c>
      <c r="B254" s="11" t="str">
        <f>"王孝澜"</f>
        <v>王孝澜</v>
      </c>
      <c r="C254" s="11" t="str">
        <f>"女        "</f>
        <v xml:space="preserve">女        </v>
      </c>
      <c r="D254" s="11" t="str">
        <f t="shared" si="33"/>
        <v>汉族</v>
      </c>
      <c r="E254" s="11" t="str">
        <f>"522322199407101428"</f>
        <v>522322199407101428</v>
      </c>
      <c r="F254" s="11" t="str">
        <f>"15186475726"</f>
        <v>15186475726</v>
      </c>
      <c r="G254" s="11" t="str">
        <f>"贵州省兴仁县大山镇高寨村潘家山组"</f>
        <v>贵州省兴仁县大山镇高寨村潘家山组</v>
      </c>
      <c r="H254" s="11" t="str">
        <f t="shared" si="31"/>
        <v>小学</v>
      </c>
      <c r="I254" s="11" t="str">
        <f t="shared" si="32"/>
        <v>103:数学</v>
      </c>
      <c r="J254" s="11" t="s">
        <v>14</v>
      </c>
      <c r="K254" s="13" t="s">
        <v>36</v>
      </c>
      <c r="L254" s="22">
        <v>70.7</v>
      </c>
      <c r="M254" s="21">
        <v>12</v>
      </c>
      <c r="N254" s="20"/>
    </row>
    <row r="255" spans="1:14" s="10" customFormat="1" ht="33" customHeight="1">
      <c r="A255" s="11">
        <v>252</v>
      </c>
      <c r="B255" s="11" t="str">
        <f>"龙明华"</f>
        <v>龙明华</v>
      </c>
      <c r="C255" s="11" t="str">
        <f>"男        "</f>
        <v xml:space="preserve">男        </v>
      </c>
      <c r="D255" s="11" t="str">
        <f>"苗族"</f>
        <v>苗族</v>
      </c>
      <c r="E255" s="11" t="str">
        <f>"452631199606243896"</f>
        <v>452631199606243896</v>
      </c>
      <c r="F255" s="11" t="str">
        <f>"13071705982"</f>
        <v>13071705982</v>
      </c>
      <c r="G255" s="11" t="str">
        <f>"广西百色市隆林县蛇场乡马场村大坝屯"</f>
        <v>广西百色市隆林县蛇场乡马场村大坝屯</v>
      </c>
      <c r="H255" s="11" t="str">
        <f t="shared" si="31"/>
        <v>小学</v>
      </c>
      <c r="I255" s="11" t="str">
        <f t="shared" si="32"/>
        <v>103:数学</v>
      </c>
      <c r="J255" s="11" t="s">
        <v>14</v>
      </c>
      <c r="K255" s="13" t="s">
        <v>36</v>
      </c>
      <c r="L255" s="22">
        <v>69.239999999999995</v>
      </c>
      <c r="M255" s="21">
        <v>13</v>
      </c>
      <c r="N255" s="20"/>
    </row>
    <row r="256" spans="1:14" s="10" customFormat="1" ht="33" customHeight="1">
      <c r="A256" s="11">
        <v>253</v>
      </c>
      <c r="B256" s="11" t="str">
        <f>"刘德权"</f>
        <v>刘德权</v>
      </c>
      <c r="C256" s="11" t="str">
        <f>"男        "</f>
        <v xml:space="preserve">男        </v>
      </c>
      <c r="D256" s="11" t="str">
        <f>"汉族"</f>
        <v>汉族</v>
      </c>
      <c r="E256" s="11" t="str">
        <f>"45263119930407103X"</f>
        <v>45263119930407103X</v>
      </c>
      <c r="F256" s="11" t="str">
        <f>"18290068233"</f>
        <v>18290068233</v>
      </c>
      <c r="G256" s="11" t="str">
        <f>"广西百色市隆林各族自治县隆或乡双多村刘家屯"</f>
        <v>广西百色市隆林各族自治县隆或乡双多村刘家屯</v>
      </c>
      <c r="H256" s="11" t="str">
        <f t="shared" si="31"/>
        <v>小学</v>
      </c>
      <c r="I256" s="11" t="str">
        <f t="shared" si="32"/>
        <v>103:数学</v>
      </c>
      <c r="J256" s="11" t="s">
        <v>14</v>
      </c>
      <c r="K256" s="13" t="s">
        <v>36</v>
      </c>
      <c r="L256" s="24" t="s">
        <v>45</v>
      </c>
      <c r="M256" s="21">
        <v>14</v>
      </c>
      <c r="N256" s="20"/>
    </row>
    <row r="257" spans="1:14" s="10" customFormat="1" ht="33" customHeight="1">
      <c r="A257" s="11">
        <v>254</v>
      </c>
      <c r="B257" s="11" t="str">
        <f>"张宗旨"</f>
        <v>张宗旨</v>
      </c>
      <c r="C257" s="11" t="str">
        <f>"女        "</f>
        <v xml:space="preserve">女        </v>
      </c>
      <c r="D257" s="11" t="str">
        <f>"汉族"</f>
        <v>汉族</v>
      </c>
      <c r="E257" s="11" t="str">
        <f>"52232619940810102X"</f>
        <v>52232619940810102X</v>
      </c>
      <c r="F257" s="11" t="str">
        <f>"18286917583"</f>
        <v>18286917583</v>
      </c>
      <c r="G257" s="11" t="str">
        <f>"贵州省望谟县乐旺镇麻湾村二组45号"</f>
        <v>贵州省望谟县乐旺镇麻湾村二组45号</v>
      </c>
      <c r="H257" s="11" t="str">
        <f t="shared" si="31"/>
        <v>小学</v>
      </c>
      <c r="I257" s="11" t="str">
        <f t="shared" si="32"/>
        <v>103:数学</v>
      </c>
      <c r="J257" s="11" t="s">
        <v>27</v>
      </c>
      <c r="K257" s="13" t="s">
        <v>36</v>
      </c>
      <c r="L257" s="22">
        <v>88.8</v>
      </c>
      <c r="M257" s="28">
        <v>1</v>
      </c>
      <c r="N257" s="20" t="s">
        <v>46</v>
      </c>
    </row>
    <row r="258" spans="1:14" s="10" customFormat="1" ht="33" customHeight="1">
      <c r="A258" s="11">
        <v>255</v>
      </c>
      <c r="B258" s="11" t="str">
        <f>"张红磊"</f>
        <v>张红磊</v>
      </c>
      <c r="C258" s="11" t="str">
        <f>"男        "</f>
        <v xml:space="preserve">男        </v>
      </c>
      <c r="D258" s="11" t="str">
        <f>"汉族"</f>
        <v>汉族</v>
      </c>
      <c r="E258" s="11" t="str">
        <f>"530321199112061717"</f>
        <v>530321199112061717</v>
      </c>
      <c r="F258" s="11" t="str">
        <f>"18387946596"</f>
        <v>18387946596</v>
      </c>
      <c r="G258" s="11" t="str">
        <f>"云南省曲靖市马龙区纳章镇石龙村4号"</f>
        <v>云南省曲靖市马龙区纳章镇石龙村4号</v>
      </c>
      <c r="H258" s="11" t="str">
        <f t="shared" si="31"/>
        <v>小学</v>
      </c>
      <c r="I258" s="11" t="str">
        <f t="shared" si="32"/>
        <v>103:数学</v>
      </c>
      <c r="J258" s="11" t="s">
        <v>27</v>
      </c>
      <c r="K258" s="13" t="s">
        <v>36</v>
      </c>
      <c r="L258" s="22">
        <v>88.3</v>
      </c>
      <c r="M258" s="28">
        <v>2</v>
      </c>
      <c r="N258" s="20" t="s">
        <v>46</v>
      </c>
    </row>
    <row r="259" spans="1:14" s="10" customFormat="1" ht="33" customHeight="1">
      <c r="A259" s="11">
        <v>256</v>
      </c>
      <c r="B259" s="11" t="str">
        <f>"罗凤秒"</f>
        <v>罗凤秒</v>
      </c>
      <c r="C259" s="11" t="str">
        <f>"女        "</f>
        <v xml:space="preserve">女        </v>
      </c>
      <c r="D259" s="11" t="str">
        <f>"壮族"</f>
        <v>壮族</v>
      </c>
      <c r="E259" s="11" t="str">
        <f>"452631199602171848"</f>
        <v>452631199602171848</v>
      </c>
      <c r="F259" s="11" t="str">
        <f>"18775655765"</f>
        <v>18775655765</v>
      </c>
      <c r="G259" s="11" t="str">
        <f>"广西壮族自治区隆林县者保乡那平村那平屯"</f>
        <v>广西壮族自治区隆林县者保乡那平村那平屯</v>
      </c>
      <c r="H259" s="11" t="str">
        <f t="shared" si="31"/>
        <v>小学</v>
      </c>
      <c r="I259" s="11" t="str">
        <f t="shared" si="32"/>
        <v>103:数学</v>
      </c>
      <c r="J259" s="11" t="s">
        <v>27</v>
      </c>
      <c r="K259" s="13" t="s">
        <v>36</v>
      </c>
      <c r="L259" s="22">
        <v>87.04</v>
      </c>
      <c r="M259" s="21">
        <v>3</v>
      </c>
      <c r="N259" s="20"/>
    </row>
    <row r="260" spans="1:14" s="10" customFormat="1" ht="33" customHeight="1">
      <c r="A260" s="11">
        <v>257</v>
      </c>
      <c r="B260" s="11" t="str">
        <f>"林瑞坤"</f>
        <v>林瑞坤</v>
      </c>
      <c r="C260" s="11" t="str">
        <f>"男        "</f>
        <v xml:space="preserve">男        </v>
      </c>
      <c r="D260" s="11" t="str">
        <f>"汉族"</f>
        <v>汉族</v>
      </c>
      <c r="E260" s="11" t="str">
        <f>"53262719930704151X"</f>
        <v>53262719930704151X</v>
      </c>
      <c r="F260" s="11" t="str">
        <f>"15025264698"</f>
        <v>15025264698</v>
      </c>
      <c r="G260" s="11" t="str">
        <f>"云南省广南县八宝镇百乐村"</f>
        <v>云南省广南县八宝镇百乐村</v>
      </c>
      <c r="H260" s="11" t="str">
        <f t="shared" si="31"/>
        <v>小学</v>
      </c>
      <c r="I260" s="11" t="str">
        <f t="shared" si="32"/>
        <v>103:数学</v>
      </c>
      <c r="J260" s="11" t="s">
        <v>27</v>
      </c>
      <c r="K260" s="13" t="s">
        <v>36</v>
      </c>
      <c r="L260" s="22">
        <v>84.2</v>
      </c>
      <c r="M260" s="21">
        <v>4</v>
      </c>
      <c r="N260" s="20"/>
    </row>
    <row r="261" spans="1:14" s="10" customFormat="1" ht="33" customHeight="1">
      <c r="A261" s="11">
        <v>258</v>
      </c>
      <c r="B261" s="11" t="str">
        <f>"杨春艳"</f>
        <v>杨春艳</v>
      </c>
      <c r="C261" s="11" t="str">
        <f>"女        "</f>
        <v xml:space="preserve">女        </v>
      </c>
      <c r="D261" s="11" t="str">
        <f>"汉族"</f>
        <v>汉族</v>
      </c>
      <c r="E261" s="11" t="str">
        <f>"532622199406220925"</f>
        <v>532622199406220925</v>
      </c>
      <c r="F261" s="11" t="str">
        <f>"18388830428"</f>
        <v>18388830428</v>
      </c>
      <c r="G261" s="11" t="str">
        <f>"云南省文山州砚山县维摩乡维摩村民委以堵组59号"</f>
        <v>云南省文山州砚山县维摩乡维摩村民委以堵组59号</v>
      </c>
      <c r="H261" s="11" t="str">
        <f t="shared" si="31"/>
        <v>小学</v>
      </c>
      <c r="I261" s="11" t="str">
        <f t="shared" si="32"/>
        <v>103:数学</v>
      </c>
      <c r="J261" s="11" t="s">
        <v>27</v>
      </c>
      <c r="K261" s="13" t="s">
        <v>36</v>
      </c>
      <c r="L261" s="22">
        <v>79.599999999999994</v>
      </c>
      <c r="M261" s="21">
        <v>5</v>
      </c>
      <c r="N261" s="20"/>
    </row>
    <row r="262" spans="1:14" s="10" customFormat="1" ht="33" customHeight="1">
      <c r="A262" s="11">
        <v>259</v>
      </c>
      <c r="B262" s="11" t="str">
        <f>"王姣姣"</f>
        <v>王姣姣</v>
      </c>
      <c r="C262" s="11" t="str">
        <f>"女        "</f>
        <v xml:space="preserve">女        </v>
      </c>
      <c r="D262" s="11" t="str">
        <f>"汉族"</f>
        <v>汉族</v>
      </c>
      <c r="E262" s="11" t="str">
        <f>"530302199510201560"</f>
        <v>530302199510201560</v>
      </c>
      <c r="F262" s="11" t="str">
        <f>"15758791242"</f>
        <v>15758791242</v>
      </c>
      <c r="G262" s="11" t="str">
        <f>"云南省曲靖市麒麟区茨营乡团结村委会王家营村"</f>
        <v>云南省曲靖市麒麟区茨营乡团结村委会王家营村</v>
      </c>
      <c r="H262" s="11" t="str">
        <f t="shared" si="31"/>
        <v>小学</v>
      </c>
      <c r="I262" s="11" t="str">
        <f t="shared" si="32"/>
        <v>103:数学</v>
      </c>
      <c r="J262" s="11" t="s">
        <v>27</v>
      </c>
      <c r="K262" s="13" t="s">
        <v>36</v>
      </c>
      <c r="L262" s="22">
        <v>79.3</v>
      </c>
      <c r="M262" s="21">
        <v>6</v>
      </c>
      <c r="N262" s="20"/>
    </row>
    <row r="263" spans="1:14" s="10" customFormat="1" ht="33" customHeight="1">
      <c r="A263" s="11">
        <v>260</v>
      </c>
      <c r="B263" s="11" t="str">
        <f>"李艳"</f>
        <v>李艳</v>
      </c>
      <c r="C263" s="11" t="str">
        <f>"女        "</f>
        <v xml:space="preserve">女        </v>
      </c>
      <c r="D263" s="11" t="str">
        <f>"壮族"</f>
        <v>壮族</v>
      </c>
      <c r="E263" s="11" t="str">
        <f>"452631199612272300"</f>
        <v>452631199612272300</v>
      </c>
      <c r="F263" s="11" t="str">
        <f>"18278680846"</f>
        <v>18278680846</v>
      </c>
      <c r="G263" s="11" t="str">
        <f>"广西省百色市隆林县天生桥镇马窝村科丰屯十四社003号"</f>
        <v>广西省百色市隆林县天生桥镇马窝村科丰屯十四社003号</v>
      </c>
      <c r="H263" s="11" t="str">
        <f t="shared" si="31"/>
        <v>小学</v>
      </c>
      <c r="I263" s="11" t="str">
        <f t="shared" si="32"/>
        <v>103:数学</v>
      </c>
      <c r="J263" s="11" t="s">
        <v>27</v>
      </c>
      <c r="K263" s="13" t="s">
        <v>36</v>
      </c>
      <c r="L263" s="22">
        <v>78.680000000000007</v>
      </c>
      <c r="M263" s="21">
        <v>7</v>
      </c>
      <c r="N263" s="20"/>
    </row>
    <row r="264" spans="1:14" s="10" customFormat="1" ht="33" customHeight="1">
      <c r="A264" s="11">
        <v>261</v>
      </c>
      <c r="B264" s="11" t="str">
        <f>"刘自席"</f>
        <v>刘自席</v>
      </c>
      <c r="C264" s="11" t="str">
        <f>"男        "</f>
        <v xml:space="preserve">男        </v>
      </c>
      <c r="D264" s="11" t="str">
        <f>"汉族"</f>
        <v>汉族</v>
      </c>
      <c r="E264" s="11" t="str">
        <f>"522326199208063217"</f>
        <v>522326199208063217</v>
      </c>
      <c r="F264" s="11" t="str">
        <f>"18224993676"</f>
        <v>18224993676</v>
      </c>
      <c r="G264" s="11" t="str">
        <f>"贵州省望谟县麻山乡"</f>
        <v>贵州省望谟县麻山乡</v>
      </c>
      <c r="H264" s="11" t="str">
        <f t="shared" si="31"/>
        <v>小学</v>
      </c>
      <c r="I264" s="11" t="str">
        <f t="shared" si="32"/>
        <v>103:数学</v>
      </c>
      <c r="J264" s="11" t="s">
        <v>27</v>
      </c>
      <c r="K264" s="13" t="s">
        <v>36</v>
      </c>
      <c r="L264" s="22">
        <v>77.5</v>
      </c>
      <c r="M264" s="21">
        <v>8</v>
      </c>
      <c r="N264" s="20"/>
    </row>
    <row r="265" spans="1:14" s="10" customFormat="1" ht="33" customHeight="1">
      <c r="A265" s="11">
        <v>262</v>
      </c>
      <c r="B265" s="11" t="str">
        <f>"陆鹏程"</f>
        <v>陆鹏程</v>
      </c>
      <c r="C265" s="11" t="str">
        <f>"男        "</f>
        <v xml:space="preserve">男        </v>
      </c>
      <c r="D265" s="11" t="str">
        <f>"汉族"</f>
        <v>汉族</v>
      </c>
      <c r="E265" s="11" t="str">
        <f>"530324199205252714"</f>
        <v>530324199205252714</v>
      </c>
      <c r="F265" s="11" t="str">
        <f>"15974503670"</f>
        <v>15974503670</v>
      </c>
      <c r="G265" s="11" t="str">
        <f>"云南省曲靖市罗平县九龙镇舍恰村委会大鲁纳"</f>
        <v>云南省曲靖市罗平县九龙镇舍恰村委会大鲁纳</v>
      </c>
      <c r="H265" s="11" t="str">
        <f t="shared" si="31"/>
        <v>小学</v>
      </c>
      <c r="I265" s="11" t="str">
        <f t="shared" si="32"/>
        <v>103:数学</v>
      </c>
      <c r="J265" s="11" t="s">
        <v>27</v>
      </c>
      <c r="K265" s="13" t="s">
        <v>36</v>
      </c>
      <c r="L265" s="22">
        <v>73.16</v>
      </c>
      <c r="M265" s="21">
        <v>9</v>
      </c>
      <c r="N265" s="20"/>
    </row>
    <row r="266" spans="1:14" s="10" customFormat="1" ht="33" customHeight="1">
      <c r="A266" s="11">
        <v>263</v>
      </c>
      <c r="B266" s="11" t="str">
        <f>"韦祎"</f>
        <v>韦祎</v>
      </c>
      <c r="C266" s="11" t="str">
        <f>"女        "</f>
        <v xml:space="preserve">女        </v>
      </c>
      <c r="D266" s="11" t="str">
        <f>"布依族"</f>
        <v>布依族</v>
      </c>
      <c r="E266" s="11" t="str">
        <f>"522326199503100420"</f>
        <v>522326199503100420</v>
      </c>
      <c r="F266" s="11" t="str">
        <f>"15761648283"</f>
        <v>15761648283</v>
      </c>
      <c r="G266" s="11" t="str">
        <f>"贵州省望谟县桑郎镇七组"</f>
        <v>贵州省望谟县桑郎镇七组</v>
      </c>
      <c r="H266" s="11" t="str">
        <f t="shared" si="31"/>
        <v>小学</v>
      </c>
      <c r="I266" s="11" t="str">
        <f t="shared" si="32"/>
        <v>103:数学</v>
      </c>
      <c r="J266" s="11" t="s">
        <v>27</v>
      </c>
      <c r="K266" s="13" t="s">
        <v>36</v>
      </c>
      <c r="L266" s="22">
        <v>69.84</v>
      </c>
      <c r="M266" s="21">
        <v>10</v>
      </c>
      <c r="N266" s="20"/>
    </row>
    <row r="267" spans="1:14" s="10" customFormat="1" ht="33" customHeight="1">
      <c r="A267" s="11">
        <v>264</v>
      </c>
      <c r="B267" s="11" t="str">
        <f>"郝正颖"</f>
        <v>郝正颖</v>
      </c>
      <c r="C267" s="11" t="str">
        <f>"男        "</f>
        <v xml:space="preserve">男        </v>
      </c>
      <c r="D267" s="11" t="str">
        <f>"汉族"</f>
        <v>汉族</v>
      </c>
      <c r="E267" s="11" t="str">
        <f>"522322199102081657"</f>
        <v>522322199102081657</v>
      </c>
      <c r="F267" s="11" t="str">
        <f>"15186461441"</f>
        <v>15186461441</v>
      </c>
      <c r="G267" s="11" t="str">
        <f>"贵州省兴仁县雨樟镇格沙屯村"</f>
        <v>贵州省兴仁县雨樟镇格沙屯村</v>
      </c>
      <c r="H267" s="11" t="str">
        <f t="shared" si="31"/>
        <v>小学</v>
      </c>
      <c r="I267" s="11" t="str">
        <f t="shared" si="32"/>
        <v>103:数学</v>
      </c>
      <c r="J267" s="11" t="s">
        <v>27</v>
      </c>
      <c r="K267" s="13" t="s">
        <v>36</v>
      </c>
      <c r="L267" s="24" t="s">
        <v>45</v>
      </c>
      <c r="M267" s="21">
        <v>11</v>
      </c>
      <c r="N267" s="20"/>
    </row>
    <row r="268" spans="1:14" s="10" customFormat="1" ht="33" customHeight="1">
      <c r="A268" s="11">
        <v>265</v>
      </c>
      <c r="B268" s="11" t="str">
        <f>"郭恩"</f>
        <v>郭恩</v>
      </c>
      <c r="C268" s="11" t="str">
        <f>"男        "</f>
        <v xml:space="preserve">男        </v>
      </c>
      <c r="D268" s="11" t="str">
        <f>"汉族"</f>
        <v>汉族</v>
      </c>
      <c r="E268" s="11" t="str">
        <f>"452631199507160972"</f>
        <v>452631199507160972</v>
      </c>
      <c r="F268" s="11" t="str">
        <f>"15077611395"</f>
        <v>15077611395</v>
      </c>
      <c r="G268" s="11" t="str">
        <f>"广西百色隆林县隆或镇隆或村五队028号"</f>
        <v>广西百色隆林县隆或镇隆或村五队028号</v>
      </c>
      <c r="H268" s="11" t="str">
        <f t="shared" si="31"/>
        <v>小学</v>
      </c>
      <c r="I268" s="11" t="str">
        <f t="shared" si="32"/>
        <v>103:数学</v>
      </c>
      <c r="J268" s="11" t="s">
        <v>12</v>
      </c>
      <c r="K268" s="13" t="s">
        <v>37</v>
      </c>
      <c r="L268" s="22">
        <v>86.58</v>
      </c>
      <c r="M268" s="28">
        <v>1</v>
      </c>
      <c r="N268" s="20" t="s">
        <v>46</v>
      </c>
    </row>
    <row r="269" spans="1:14" s="10" customFormat="1" ht="33" customHeight="1">
      <c r="A269" s="11">
        <v>266</v>
      </c>
      <c r="B269" s="11" t="str">
        <f>"简才路"</f>
        <v>简才路</v>
      </c>
      <c r="C269" s="11" t="str">
        <f>"男        "</f>
        <v xml:space="preserve">男        </v>
      </c>
      <c r="D269" s="11" t="str">
        <f>"汉族"</f>
        <v>汉族</v>
      </c>
      <c r="E269" s="11" t="str">
        <f>"522326199210251612"</f>
        <v>522326199210251612</v>
      </c>
      <c r="F269" s="11" t="str">
        <f>"17586898489"</f>
        <v>17586898489</v>
      </c>
      <c r="G269" s="11" t="str">
        <f>"贵州省望谟县新屯镇金山村里堰上组44号"</f>
        <v>贵州省望谟县新屯镇金山村里堰上组44号</v>
      </c>
      <c r="H269" s="11" t="str">
        <f t="shared" si="31"/>
        <v>小学</v>
      </c>
      <c r="I269" s="11" t="str">
        <f t="shared" si="32"/>
        <v>103:数学</v>
      </c>
      <c r="J269" s="11" t="s">
        <v>12</v>
      </c>
      <c r="K269" s="13" t="s">
        <v>37</v>
      </c>
      <c r="L269" s="22">
        <v>86.06</v>
      </c>
      <c r="M269" s="28">
        <v>2</v>
      </c>
      <c r="N269" s="20" t="s">
        <v>46</v>
      </c>
    </row>
    <row r="270" spans="1:14" s="10" customFormat="1" ht="33" customHeight="1">
      <c r="A270" s="11">
        <v>267</v>
      </c>
      <c r="B270" s="11" t="str">
        <f>"王永光"</f>
        <v>王永光</v>
      </c>
      <c r="C270" s="11" t="str">
        <f>"男        "</f>
        <v xml:space="preserve">男        </v>
      </c>
      <c r="D270" s="11" t="str">
        <f>"壮族"</f>
        <v>壮族</v>
      </c>
      <c r="E270" s="11" t="str">
        <f>"532627198910084130"</f>
        <v>532627198910084130</v>
      </c>
      <c r="F270" s="11" t="str">
        <f>"18187618762"</f>
        <v>18187618762</v>
      </c>
      <c r="G270" s="11" t="str">
        <f>"云南省文山壮族苗族自治州广南县坝美镇同应村民委者龙"</f>
        <v>云南省文山壮族苗族自治州广南县坝美镇同应村民委者龙</v>
      </c>
      <c r="H270" s="11" t="str">
        <f t="shared" si="31"/>
        <v>小学</v>
      </c>
      <c r="I270" s="11" t="str">
        <f t="shared" si="32"/>
        <v>103:数学</v>
      </c>
      <c r="J270" s="11" t="s">
        <v>12</v>
      </c>
      <c r="K270" s="13" t="s">
        <v>37</v>
      </c>
      <c r="L270" s="22">
        <v>84.8</v>
      </c>
      <c r="M270" s="21">
        <v>3</v>
      </c>
      <c r="N270" s="20"/>
    </row>
    <row r="271" spans="1:14" s="10" customFormat="1" ht="33" customHeight="1">
      <c r="A271" s="11">
        <v>268</v>
      </c>
      <c r="B271" s="11" t="str">
        <f>"韦淑慧"</f>
        <v>韦淑慧</v>
      </c>
      <c r="C271" s="11" t="str">
        <f>"女        "</f>
        <v xml:space="preserve">女        </v>
      </c>
      <c r="D271" s="11" t="str">
        <f>"壮族"</f>
        <v>壮族</v>
      </c>
      <c r="E271" s="11" t="str">
        <f>"452632199512091322"</f>
        <v>452632199512091322</v>
      </c>
      <c r="F271" s="11" t="str">
        <f>"18775656436"</f>
        <v>18775656436</v>
      </c>
      <c r="G271" s="11" t="str">
        <f>"广西百色市西林县"</f>
        <v>广西百色市西林县</v>
      </c>
      <c r="H271" s="11" t="str">
        <f t="shared" si="31"/>
        <v>小学</v>
      </c>
      <c r="I271" s="11" t="str">
        <f t="shared" si="32"/>
        <v>103:数学</v>
      </c>
      <c r="J271" s="11" t="s">
        <v>12</v>
      </c>
      <c r="K271" s="13" t="s">
        <v>37</v>
      </c>
      <c r="L271" s="22">
        <v>84.08</v>
      </c>
      <c r="M271" s="21">
        <v>4</v>
      </c>
      <c r="N271" s="20"/>
    </row>
    <row r="272" spans="1:14" s="10" customFormat="1" ht="33" customHeight="1">
      <c r="A272" s="11">
        <v>269</v>
      </c>
      <c r="B272" s="11" t="str">
        <f>"王勤"</f>
        <v>王勤</v>
      </c>
      <c r="C272" s="11" t="str">
        <f>"女        "</f>
        <v xml:space="preserve">女        </v>
      </c>
      <c r="D272" s="11" t="str">
        <f>"汉族"</f>
        <v>汉族</v>
      </c>
      <c r="E272" s="11" t="str">
        <f>"452631199506090984"</f>
        <v>452631199506090984</v>
      </c>
      <c r="F272" s="11" t="str">
        <f>"13669489873"</f>
        <v>13669489873</v>
      </c>
      <c r="G272" s="11" t="str">
        <f>"广西省百色市隆林县隆或正沙保村大毛草坝屯"</f>
        <v>广西省百色市隆林县隆或正沙保村大毛草坝屯</v>
      </c>
      <c r="H272" s="11" t="str">
        <f t="shared" si="31"/>
        <v>小学</v>
      </c>
      <c r="I272" s="11" t="str">
        <f t="shared" si="32"/>
        <v>103:数学</v>
      </c>
      <c r="J272" s="11" t="s">
        <v>12</v>
      </c>
      <c r="K272" s="13" t="s">
        <v>37</v>
      </c>
      <c r="L272" s="22">
        <v>82.78</v>
      </c>
      <c r="M272" s="21">
        <v>5</v>
      </c>
      <c r="N272" s="20"/>
    </row>
    <row r="273" spans="1:14" s="10" customFormat="1" ht="33" customHeight="1">
      <c r="A273" s="11">
        <v>270</v>
      </c>
      <c r="B273" s="11" t="str">
        <f>"李绍虎"</f>
        <v>李绍虎</v>
      </c>
      <c r="C273" s="11" t="str">
        <f>"男        "</f>
        <v xml:space="preserve">男        </v>
      </c>
      <c r="D273" s="11" t="str">
        <f>"汉族"</f>
        <v>汉族</v>
      </c>
      <c r="E273" s="11" t="str">
        <f>"530381199306020573"</f>
        <v>530381199306020573</v>
      </c>
      <c r="F273" s="11" t="str">
        <f>"18725079614"</f>
        <v>18725079614</v>
      </c>
      <c r="G273" s="11" t="str">
        <f>"云南省宣威市来宾镇来宾村委会向阳村133号"</f>
        <v>云南省宣威市来宾镇来宾村委会向阳村133号</v>
      </c>
      <c r="H273" s="11" t="str">
        <f t="shared" si="31"/>
        <v>小学</v>
      </c>
      <c r="I273" s="11" t="str">
        <f t="shared" si="32"/>
        <v>103:数学</v>
      </c>
      <c r="J273" s="11" t="s">
        <v>12</v>
      </c>
      <c r="K273" s="13" t="s">
        <v>37</v>
      </c>
      <c r="L273" s="22">
        <v>80.88</v>
      </c>
      <c r="M273" s="21">
        <v>6</v>
      </c>
      <c r="N273" s="20"/>
    </row>
    <row r="274" spans="1:14" s="10" customFormat="1" ht="33" customHeight="1">
      <c r="A274" s="11">
        <v>271</v>
      </c>
      <c r="B274" s="11" t="str">
        <f>"王丽芳"</f>
        <v>王丽芳</v>
      </c>
      <c r="C274" s="11" t="str">
        <f>"女        "</f>
        <v xml:space="preserve">女        </v>
      </c>
      <c r="D274" s="11" t="str">
        <f>"壮族"</f>
        <v>壮族</v>
      </c>
      <c r="E274" s="11" t="str">
        <f>"452631199607280760"</f>
        <v>452631199607280760</v>
      </c>
      <c r="F274" s="11" t="str">
        <f>"17776172140"</f>
        <v>17776172140</v>
      </c>
      <c r="G274" s="11" t="str">
        <f>"广西隆林各族自治县平班镇委乐村平坝屯17号"</f>
        <v>广西隆林各族自治县平班镇委乐村平坝屯17号</v>
      </c>
      <c r="H274" s="11" t="str">
        <f t="shared" si="31"/>
        <v>小学</v>
      </c>
      <c r="I274" s="11" t="str">
        <f t="shared" si="32"/>
        <v>103:数学</v>
      </c>
      <c r="J274" s="11" t="s">
        <v>12</v>
      </c>
      <c r="K274" s="13" t="s">
        <v>37</v>
      </c>
      <c r="L274" s="22">
        <v>77.64</v>
      </c>
      <c r="M274" s="21">
        <v>7</v>
      </c>
      <c r="N274" s="20"/>
    </row>
    <row r="275" spans="1:14" s="10" customFormat="1" ht="33" customHeight="1">
      <c r="A275" s="11">
        <v>272</v>
      </c>
      <c r="B275" s="11" t="str">
        <f>"李美园"</f>
        <v>李美园</v>
      </c>
      <c r="C275" s="11" t="str">
        <f>"女        "</f>
        <v xml:space="preserve">女        </v>
      </c>
      <c r="D275" s="11" t="str">
        <f t="shared" ref="D275:D280" si="34">"汉族"</f>
        <v>汉族</v>
      </c>
      <c r="E275" s="11" t="str">
        <f>"452631199611180981"</f>
        <v>452631199611180981</v>
      </c>
      <c r="F275" s="11" t="str">
        <f>"15778008614"</f>
        <v>15778008614</v>
      </c>
      <c r="G275" s="11" t="str">
        <f>"广西百色市隆林各族自治县隆或镇滴岩村潘家湾屯037号"</f>
        <v>广西百色市隆林各族自治县隆或镇滴岩村潘家湾屯037号</v>
      </c>
      <c r="H275" s="11" t="str">
        <f t="shared" ref="H275:H306" si="35">"小学"</f>
        <v>小学</v>
      </c>
      <c r="I275" s="11" t="str">
        <f t="shared" ref="I275:I306" si="36">"103:数学"</f>
        <v>103:数学</v>
      </c>
      <c r="J275" s="11" t="s">
        <v>12</v>
      </c>
      <c r="K275" s="13" t="s">
        <v>37</v>
      </c>
      <c r="L275" s="22">
        <v>14.2</v>
      </c>
      <c r="M275" s="21">
        <v>8</v>
      </c>
      <c r="N275" s="20"/>
    </row>
    <row r="276" spans="1:14" s="10" customFormat="1" ht="33" customHeight="1">
      <c r="A276" s="11">
        <v>273</v>
      </c>
      <c r="B276" s="11" t="str">
        <f>"胡坤伦"</f>
        <v>胡坤伦</v>
      </c>
      <c r="C276" s="11" t="str">
        <f>"男        "</f>
        <v xml:space="preserve">男        </v>
      </c>
      <c r="D276" s="11" t="str">
        <f t="shared" si="34"/>
        <v>汉族</v>
      </c>
      <c r="E276" s="11" t="str">
        <f>"452631199502195017"</f>
        <v>452631199502195017</v>
      </c>
      <c r="F276" s="11" t="str">
        <f>"18070935782"</f>
        <v>18070935782</v>
      </c>
      <c r="G276" s="11" t="str">
        <f>"广西百色市隆林各族自治县岩茶乡龙台村各老寨屯"</f>
        <v>广西百色市隆林各族自治县岩茶乡龙台村各老寨屯</v>
      </c>
      <c r="H276" s="11" t="str">
        <f t="shared" si="35"/>
        <v>小学</v>
      </c>
      <c r="I276" s="11" t="str">
        <f t="shared" si="36"/>
        <v>103:数学</v>
      </c>
      <c r="J276" s="11" t="s">
        <v>12</v>
      </c>
      <c r="K276" s="13" t="s">
        <v>37</v>
      </c>
      <c r="L276" s="24" t="s">
        <v>45</v>
      </c>
      <c r="M276" s="21">
        <v>9</v>
      </c>
      <c r="N276" s="20"/>
    </row>
    <row r="277" spans="1:14" s="10" customFormat="1" ht="33" customHeight="1">
      <c r="A277" s="11">
        <v>274</v>
      </c>
      <c r="B277" s="11" t="str">
        <f>"李春燕"</f>
        <v>李春燕</v>
      </c>
      <c r="C277" s="11" t="str">
        <f>"女        "</f>
        <v xml:space="preserve">女        </v>
      </c>
      <c r="D277" s="11" t="str">
        <f t="shared" si="34"/>
        <v>汉族</v>
      </c>
      <c r="E277" s="11" t="str">
        <f>"522427199408192621"</f>
        <v>522427199408192621</v>
      </c>
      <c r="F277" s="11" t="str">
        <f>"18785935194"</f>
        <v>18785935194</v>
      </c>
      <c r="G277" s="11" t="str">
        <f>"贵州省威宁县小海镇卯家村新山组"</f>
        <v>贵州省威宁县小海镇卯家村新山组</v>
      </c>
      <c r="H277" s="11" t="str">
        <f t="shared" si="35"/>
        <v>小学</v>
      </c>
      <c r="I277" s="11" t="str">
        <f t="shared" si="36"/>
        <v>103:数学</v>
      </c>
      <c r="J277" s="11" t="s">
        <v>12</v>
      </c>
      <c r="K277" s="13" t="s">
        <v>37</v>
      </c>
      <c r="L277" s="24" t="s">
        <v>45</v>
      </c>
      <c r="M277" s="21">
        <v>10</v>
      </c>
      <c r="N277" s="20"/>
    </row>
    <row r="278" spans="1:14" s="10" customFormat="1" ht="33" customHeight="1">
      <c r="A278" s="11">
        <v>275</v>
      </c>
      <c r="B278" s="11" t="str">
        <f>"龙玉连"</f>
        <v>龙玉连</v>
      </c>
      <c r="C278" s="11" t="str">
        <f>"女        "</f>
        <v xml:space="preserve">女        </v>
      </c>
      <c r="D278" s="11" t="str">
        <f t="shared" si="34"/>
        <v>汉族</v>
      </c>
      <c r="E278" s="11" t="str">
        <f>"452631199212230988"</f>
        <v>452631199212230988</v>
      </c>
      <c r="F278" s="11" t="str">
        <f>"15994456984"</f>
        <v>15994456984</v>
      </c>
      <c r="G278" s="11" t="str">
        <f>"广西百色市隆林县隆或乡双多村"</f>
        <v>广西百色市隆林县隆或乡双多村</v>
      </c>
      <c r="H278" s="11" t="str">
        <f t="shared" si="35"/>
        <v>小学</v>
      </c>
      <c r="I278" s="11" t="str">
        <f t="shared" si="36"/>
        <v>103:数学</v>
      </c>
      <c r="J278" s="11" t="s">
        <v>28</v>
      </c>
      <c r="K278" s="13" t="s">
        <v>37</v>
      </c>
      <c r="L278" s="22">
        <v>86.1</v>
      </c>
      <c r="M278" s="28">
        <v>1</v>
      </c>
      <c r="N278" s="20" t="s">
        <v>46</v>
      </c>
    </row>
    <row r="279" spans="1:14" s="10" customFormat="1" ht="33" customHeight="1">
      <c r="A279" s="11">
        <v>276</v>
      </c>
      <c r="B279" s="11" t="str">
        <f>"李浩"</f>
        <v>李浩</v>
      </c>
      <c r="C279" s="11" t="str">
        <f>"男        "</f>
        <v xml:space="preserve">男        </v>
      </c>
      <c r="D279" s="11" t="str">
        <f t="shared" si="34"/>
        <v>汉族</v>
      </c>
      <c r="E279" s="11" t="str">
        <f>"530325199401191732"</f>
        <v>530325199401191732</v>
      </c>
      <c r="F279" s="11" t="str">
        <f>"14787568753"</f>
        <v>14787568753</v>
      </c>
      <c r="G279" s="11" t="str">
        <f>"云南省曲靖市富源县十八连山镇"</f>
        <v>云南省曲靖市富源县十八连山镇</v>
      </c>
      <c r="H279" s="11" t="str">
        <f t="shared" si="35"/>
        <v>小学</v>
      </c>
      <c r="I279" s="11" t="str">
        <f t="shared" si="36"/>
        <v>103:数学</v>
      </c>
      <c r="J279" s="11" t="s">
        <v>28</v>
      </c>
      <c r="K279" s="13" t="s">
        <v>37</v>
      </c>
      <c r="L279" s="22">
        <v>85.88</v>
      </c>
      <c r="M279" s="28">
        <v>2</v>
      </c>
      <c r="N279" s="20" t="s">
        <v>46</v>
      </c>
    </row>
    <row r="280" spans="1:14" s="10" customFormat="1" ht="33" customHeight="1">
      <c r="A280" s="11">
        <v>277</v>
      </c>
      <c r="B280" s="11" t="str">
        <f>"吴玉玲"</f>
        <v>吴玉玲</v>
      </c>
      <c r="C280" s="11" t="str">
        <f>"女        "</f>
        <v xml:space="preserve">女        </v>
      </c>
      <c r="D280" s="11" t="str">
        <f t="shared" si="34"/>
        <v>汉族</v>
      </c>
      <c r="E280" s="11" t="str">
        <f>"522401199504237048"</f>
        <v>522401199504237048</v>
      </c>
      <c r="F280" s="11" t="str">
        <f>"13027862187"</f>
        <v>13027862187</v>
      </c>
      <c r="G280" s="11" t="str">
        <f>"贵州省毕节市七星关区碧海街道办事处"</f>
        <v>贵州省毕节市七星关区碧海街道办事处</v>
      </c>
      <c r="H280" s="11" t="str">
        <f t="shared" si="35"/>
        <v>小学</v>
      </c>
      <c r="I280" s="11" t="str">
        <f t="shared" si="36"/>
        <v>103:数学</v>
      </c>
      <c r="J280" s="11" t="s">
        <v>28</v>
      </c>
      <c r="K280" s="13" t="s">
        <v>37</v>
      </c>
      <c r="L280" s="22">
        <v>85.6</v>
      </c>
      <c r="M280" s="21">
        <v>3</v>
      </c>
      <c r="N280" s="20"/>
    </row>
    <row r="281" spans="1:14" s="10" customFormat="1" ht="33" customHeight="1">
      <c r="A281" s="11">
        <v>278</v>
      </c>
      <c r="B281" s="11" t="str">
        <f>"农艳红"</f>
        <v>农艳红</v>
      </c>
      <c r="C281" s="11" t="str">
        <f>"女        "</f>
        <v xml:space="preserve">女        </v>
      </c>
      <c r="D281" s="11" t="str">
        <f>"壮族"</f>
        <v>壮族</v>
      </c>
      <c r="E281" s="11" t="str">
        <f>"452627199212042587"</f>
        <v>452627199212042587</v>
      </c>
      <c r="F281" s="11" t="str">
        <f>"18377101712"</f>
        <v>18377101712</v>
      </c>
      <c r="G281" s="11" t="str">
        <f>"隆林各族自治县平班镇扁牙村二上队28号"</f>
        <v>隆林各族自治县平班镇扁牙村二上队28号</v>
      </c>
      <c r="H281" s="11" t="str">
        <f t="shared" si="35"/>
        <v>小学</v>
      </c>
      <c r="I281" s="11" t="str">
        <f t="shared" si="36"/>
        <v>103:数学</v>
      </c>
      <c r="J281" s="11" t="s">
        <v>28</v>
      </c>
      <c r="K281" s="13" t="s">
        <v>37</v>
      </c>
      <c r="L281" s="22">
        <v>85.2</v>
      </c>
      <c r="M281" s="21">
        <v>4</v>
      </c>
      <c r="N281" s="20"/>
    </row>
    <row r="282" spans="1:14" s="10" customFormat="1" ht="33" customHeight="1">
      <c r="A282" s="11">
        <v>279</v>
      </c>
      <c r="B282" s="11" t="str">
        <f>"黄栋"</f>
        <v>黄栋</v>
      </c>
      <c r="C282" s="11" t="str">
        <f>"男        "</f>
        <v xml:space="preserve">男        </v>
      </c>
      <c r="D282" s="11" t="str">
        <f>"壮族"</f>
        <v>壮族</v>
      </c>
      <c r="E282" s="11" t="str">
        <f>"452631199505020079"</f>
        <v>452631199505020079</v>
      </c>
      <c r="F282" s="11" t="str">
        <f>"18776902554"</f>
        <v>18776902554</v>
      </c>
      <c r="G282" s="11" t="str">
        <f>"广西省百色市隆林县龙山街43号"</f>
        <v>广西省百色市隆林县龙山街43号</v>
      </c>
      <c r="H282" s="11" t="str">
        <f t="shared" si="35"/>
        <v>小学</v>
      </c>
      <c r="I282" s="11" t="str">
        <f t="shared" si="36"/>
        <v>103:数学</v>
      </c>
      <c r="J282" s="11" t="s">
        <v>28</v>
      </c>
      <c r="K282" s="13" t="s">
        <v>37</v>
      </c>
      <c r="L282" s="22">
        <v>85.12</v>
      </c>
      <c r="M282" s="21">
        <v>5</v>
      </c>
      <c r="N282" s="20"/>
    </row>
    <row r="283" spans="1:14" s="10" customFormat="1" ht="33" customHeight="1">
      <c r="A283" s="11">
        <v>280</v>
      </c>
      <c r="B283" s="11" t="str">
        <f>"王周梅"</f>
        <v>王周梅</v>
      </c>
      <c r="C283" s="11" t="str">
        <f>"女        "</f>
        <v xml:space="preserve">女        </v>
      </c>
      <c r="D283" s="11" t="str">
        <f>"壮族"</f>
        <v>壮族</v>
      </c>
      <c r="E283" s="11" t="str">
        <f>"452631199305140527"</f>
        <v>452631199305140527</v>
      </c>
      <c r="F283" s="11" t="str">
        <f>"15077393067"</f>
        <v>15077393067</v>
      </c>
      <c r="G283" s="11" t="str">
        <f>"广西省隆林县沙梨乡沙梨村14社"</f>
        <v>广西省隆林县沙梨乡沙梨村14社</v>
      </c>
      <c r="H283" s="11" t="str">
        <f t="shared" si="35"/>
        <v>小学</v>
      </c>
      <c r="I283" s="11" t="str">
        <f t="shared" si="36"/>
        <v>103:数学</v>
      </c>
      <c r="J283" s="11" t="s">
        <v>28</v>
      </c>
      <c r="K283" s="13" t="s">
        <v>37</v>
      </c>
      <c r="L283" s="22">
        <v>84.5</v>
      </c>
      <c r="M283" s="21">
        <v>6</v>
      </c>
      <c r="N283" s="20"/>
    </row>
    <row r="284" spans="1:14" s="10" customFormat="1" ht="33" customHeight="1">
      <c r="A284" s="11">
        <v>281</v>
      </c>
      <c r="B284" s="11" t="str">
        <f>"黄铃舒"</f>
        <v>黄铃舒</v>
      </c>
      <c r="C284" s="11" t="str">
        <f>"女        "</f>
        <v xml:space="preserve">女        </v>
      </c>
      <c r="D284" s="11" t="str">
        <f>"壮族"</f>
        <v>壮族</v>
      </c>
      <c r="E284" s="11" t="str">
        <f>"452632199503280025"</f>
        <v>452632199503280025</v>
      </c>
      <c r="F284" s="11" t="str">
        <f>"15007869837"</f>
        <v>15007869837</v>
      </c>
      <c r="G284" s="11" t="str">
        <f>"西林县八达镇公安局"</f>
        <v>西林县八达镇公安局</v>
      </c>
      <c r="H284" s="11" t="str">
        <f t="shared" si="35"/>
        <v>小学</v>
      </c>
      <c r="I284" s="11" t="str">
        <f t="shared" si="36"/>
        <v>103:数学</v>
      </c>
      <c r="J284" s="11" t="s">
        <v>28</v>
      </c>
      <c r="K284" s="13" t="s">
        <v>37</v>
      </c>
      <c r="L284" s="22">
        <v>83.16</v>
      </c>
      <c r="M284" s="21">
        <v>7</v>
      </c>
      <c r="N284" s="20"/>
    </row>
    <row r="285" spans="1:14" s="10" customFormat="1" ht="33" customHeight="1">
      <c r="A285" s="11">
        <v>282</v>
      </c>
      <c r="B285" s="11" t="str">
        <f>"陈红毕"</f>
        <v>陈红毕</v>
      </c>
      <c r="C285" s="11" t="str">
        <f>"女        "</f>
        <v xml:space="preserve">女        </v>
      </c>
      <c r="D285" s="11" t="str">
        <f>"汉族"</f>
        <v>汉族</v>
      </c>
      <c r="E285" s="11" t="str">
        <f>"532225199210161529"</f>
        <v>532225199210161529</v>
      </c>
      <c r="F285" s="11" t="str">
        <f>"13887626006"</f>
        <v>13887626006</v>
      </c>
      <c r="G285" s="11" t="str">
        <f>"云南省曲靖市富源县黄泥河镇西门街819号"</f>
        <v>云南省曲靖市富源县黄泥河镇西门街819号</v>
      </c>
      <c r="H285" s="11" t="str">
        <f t="shared" si="35"/>
        <v>小学</v>
      </c>
      <c r="I285" s="11" t="str">
        <f t="shared" si="36"/>
        <v>103:数学</v>
      </c>
      <c r="J285" s="11" t="s">
        <v>28</v>
      </c>
      <c r="K285" s="13" t="s">
        <v>37</v>
      </c>
      <c r="L285" s="22">
        <v>81.22</v>
      </c>
      <c r="M285" s="21">
        <v>8</v>
      </c>
      <c r="N285" s="20"/>
    </row>
    <row r="286" spans="1:14" s="10" customFormat="1" ht="33" customHeight="1">
      <c r="A286" s="11">
        <v>283</v>
      </c>
      <c r="B286" s="11" t="str">
        <f>"谢远琴"</f>
        <v>谢远琴</v>
      </c>
      <c r="C286" s="11" t="str">
        <f>"女        "</f>
        <v xml:space="preserve">女        </v>
      </c>
      <c r="D286" s="11" t="str">
        <f>"汉族"</f>
        <v>汉族</v>
      </c>
      <c r="E286" s="11" t="str">
        <f>"522328199809050262"</f>
        <v>522328199809050262</v>
      </c>
      <c r="F286" s="11" t="str">
        <f>"15885782434"</f>
        <v>15885782434</v>
      </c>
      <c r="G286" s="11" t="str">
        <f>"贵州省安龙县栖凤街道办事处大坪村双沟组15号"</f>
        <v>贵州省安龙县栖凤街道办事处大坪村双沟组15号</v>
      </c>
      <c r="H286" s="11" t="str">
        <f t="shared" si="35"/>
        <v>小学</v>
      </c>
      <c r="I286" s="11" t="str">
        <f t="shared" si="36"/>
        <v>103:数学</v>
      </c>
      <c r="J286" s="11" t="s">
        <v>28</v>
      </c>
      <c r="K286" s="13" t="s">
        <v>37</v>
      </c>
      <c r="L286" s="22">
        <v>80.56</v>
      </c>
      <c r="M286" s="21">
        <v>9</v>
      </c>
      <c r="N286" s="20"/>
    </row>
    <row r="287" spans="1:14" s="10" customFormat="1" ht="33" customHeight="1">
      <c r="A287" s="11">
        <v>284</v>
      </c>
      <c r="B287" s="11" t="str">
        <f>"农家益"</f>
        <v>农家益</v>
      </c>
      <c r="C287" s="11" t="str">
        <f>"男        "</f>
        <v xml:space="preserve">男        </v>
      </c>
      <c r="D287" s="11" t="str">
        <f>"壮族"</f>
        <v>壮族</v>
      </c>
      <c r="E287" s="11" t="str">
        <f>"452632199610170016"</f>
        <v>452632199610170016</v>
      </c>
      <c r="F287" s="11" t="str">
        <f>"18778658396"</f>
        <v>18778658396</v>
      </c>
      <c r="G287" s="11" t="str">
        <f>"广西西林县八达镇红星村平用屯167号"</f>
        <v>广西西林县八达镇红星村平用屯167号</v>
      </c>
      <c r="H287" s="11" t="str">
        <f t="shared" si="35"/>
        <v>小学</v>
      </c>
      <c r="I287" s="11" t="str">
        <f t="shared" si="36"/>
        <v>103:数学</v>
      </c>
      <c r="J287" s="11" t="s">
        <v>28</v>
      </c>
      <c r="K287" s="13" t="s">
        <v>37</v>
      </c>
      <c r="L287" s="22">
        <v>80.56</v>
      </c>
      <c r="M287" s="21">
        <v>10</v>
      </c>
      <c r="N287" s="20"/>
    </row>
    <row r="288" spans="1:14" s="10" customFormat="1" ht="33" customHeight="1">
      <c r="A288" s="11">
        <v>285</v>
      </c>
      <c r="B288" s="11" t="str">
        <f>"陈正东"</f>
        <v>陈正东</v>
      </c>
      <c r="C288" s="11" t="str">
        <f>"男        "</f>
        <v xml:space="preserve">男        </v>
      </c>
      <c r="D288" s="11" t="str">
        <f>"壮族"</f>
        <v>壮族</v>
      </c>
      <c r="E288" s="11" t="str">
        <f>"452631199412073657"</f>
        <v>452631199412073657</v>
      </c>
      <c r="F288" s="11" t="str">
        <f>"18074868376"</f>
        <v>18074868376</v>
      </c>
      <c r="G288" s="11" t="str">
        <f>"广西隆林各族自治县猪场乡岩圩村那化社18号"</f>
        <v>广西隆林各族自治县猪场乡岩圩村那化社18号</v>
      </c>
      <c r="H288" s="11" t="str">
        <f t="shared" si="35"/>
        <v>小学</v>
      </c>
      <c r="I288" s="11" t="str">
        <f t="shared" si="36"/>
        <v>103:数学</v>
      </c>
      <c r="J288" s="11" t="s">
        <v>28</v>
      </c>
      <c r="K288" s="13" t="s">
        <v>37</v>
      </c>
      <c r="L288" s="22">
        <v>76.7</v>
      </c>
      <c r="M288" s="21">
        <v>11</v>
      </c>
      <c r="N288" s="20"/>
    </row>
    <row r="289" spans="1:14" s="10" customFormat="1" ht="33" customHeight="1">
      <c r="A289" s="11">
        <v>286</v>
      </c>
      <c r="B289" s="11" t="str">
        <f>"王志沙"</f>
        <v>王志沙</v>
      </c>
      <c r="C289" s="11" t="str">
        <f>"女        "</f>
        <v xml:space="preserve">女        </v>
      </c>
      <c r="D289" s="11" t="str">
        <f>"壮族"</f>
        <v>壮族</v>
      </c>
      <c r="E289" s="11" t="str">
        <f>"452632199610091027"</f>
        <v>452632199610091027</v>
      </c>
      <c r="F289" s="11" t="str">
        <f>"13471699631"</f>
        <v>13471699631</v>
      </c>
      <c r="G289" s="11" t="str">
        <f>"广西百色市西林县古障镇仙仁掌上俄屯"</f>
        <v>广西百色市西林县古障镇仙仁掌上俄屯</v>
      </c>
      <c r="H289" s="11" t="str">
        <f t="shared" si="35"/>
        <v>小学</v>
      </c>
      <c r="I289" s="11" t="str">
        <f t="shared" si="36"/>
        <v>103:数学</v>
      </c>
      <c r="J289" s="11" t="s">
        <v>28</v>
      </c>
      <c r="K289" s="13" t="s">
        <v>37</v>
      </c>
      <c r="L289" s="22">
        <v>75.319999999999993</v>
      </c>
      <c r="M289" s="21">
        <v>12</v>
      </c>
      <c r="N289" s="20"/>
    </row>
    <row r="290" spans="1:14" s="10" customFormat="1" ht="33" customHeight="1">
      <c r="A290" s="11">
        <v>287</v>
      </c>
      <c r="B290" s="11" t="str">
        <f>"陈玉梅"</f>
        <v>陈玉梅</v>
      </c>
      <c r="C290" s="11" t="str">
        <f>"女        "</f>
        <v xml:space="preserve">女        </v>
      </c>
      <c r="D290" s="11" t="str">
        <f>"壮族"</f>
        <v>壮族</v>
      </c>
      <c r="E290" s="11" t="str">
        <f>"452632199603160020"</f>
        <v>452632199603160020</v>
      </c>
      <c r="F290" s="11" t="str">
        <f>"13877677945"</f>
        <v>13877677945</v>
      </c>
      <c r="G290" s="11" t="str">
        <f>"广西西林县八达镇土黄村"</f>
        <v>广西西林县八达镇土黄村</v>
      </c>
      <c r="H290" s="11" t="str">
        <f t="shared" si="35"/>
        <v>小学</v>
      </c>
      <c r="I290" s="11" t="str">
        <f t="shared" si="36"/>
        <v>103:数学</v>
      </c>
      <c r="J290" s="11" t="s">
        <v>28</v>
      </c>
      <c r="K290" s="13" t="s">
        <v>37</v>
      </c>
      <c r="L290" s="22">
        <v>74.36</v>
      </c>
      <c r="M290" s="21">
        <v>13</v>
      </c>
      <c r="N290" s="20"/>
    </row>
    <row r="291" spans="1:14" s="10" customFormat="1" ht="33" customHeight="1">
      <c r="A291" s="11">
        <v>288</v>
      </c>
      <c r="B291" s="11" t="str">
        <f>"何现排"</f>
        <v>何现排</v>
      </c>
      <c r="C291" s="11" t="str">
        <f>"男        "</f>
        <v xml:space="preserve">男        </v>
      </c>
      <c r="D291" s="11" t="str">
        <f>"汉族"</f>
        <v>汉族</v>
      </c>
      <c r="E291" s="11" t="str">
        <f>"452631199508162312"</f>
        <v>452631199508162312</v>
      </c>
      <c r="F291" s="11" t="str">
        <f>"18777396692"</f>
        <v>18777396692</v>
      </c>
      <c r="G291" s="11" t="str">
        <f>"广西省百色市隆林县天生桥镇安然村"</f>
        <v>广西省百色市隆林县天生桥镇安然村</v>
      </c>
      <c r="H291" s="11" t="str">
        <f t="shared" si="35"/>
        <v>小学</v>
      </c>
      <c r="I291" s="11" t="str">
        <f t="shared" si="36"/>
        <v>103:数学</v>
      </c>
      <c r="J291" s="11" t="s">
        <v>28</v>
      </c>
      <c r="K291" s="13" t="s">
        <v>37</v>
      </c>
      <c r="L291" s="22">
        <v>74.34</v>
      </c>
      <c r="M291" s="21">
        <v>14</v>
      </c>
      <c r="N291" s="20"/>
    </row>
    <row r="292" spans="1:14" s="10" customFormat="1" ht="33" customHeight="1">
      <c r="A292" s="11">
        <v>289</v>
      </c>
      <c r="B292" s="11" t="str">
        <f>"鄢军"</f>
        <v>鄢军</v>
      </c>
      <c r="C292" s="11" t="str">
        <f>"男        "</f>
        <v xml:space="preserve">男        </v>
      </c>
      <c r="D292" s="11" t="str">
        <f>"汉族"</f>
        <v>汉族</v>
      </c>
      <c r="E292" s="11" t="str">
        <f>"452631199107122934"</f>
        <v>452631199107122934</v>
      </c>
      <c r="F292" s="11" t="str">
        <f>"18777616514"</f>
        <v>18777616514</v>
      </c>
      <c r="G292" s="11" t="str">
        <f>"广西百色隆林县新州镇民强村六我屯"</f>
        <v>广西百色隆林县新州镇民强村六我屯</v>
      </c>
      <c r="H292" s="11" t="str">
        <f t="shared" si="35"/>
        <v>小学</v>
      </c>
      <c r="I292" s="11" t="str">
        <f t="shared" si="36"/>
        <v>103:数学</v>
      </c>
      <c r="J292" s="11" t="s">
        <v>28</v>
      </c>
      <c r="K292" s="13" t="s">
        <v>37</v>
      </c>
      <c r="L292" s="24" t="s">
        <v>45</v>
      </c>
      <c r="M292" s="21">
        <v>15</v>
      </c>
      <c r="N292" s="20"/>
    </row>
    <row r="293" spans="1:14" s="10" customFormat="1" ht="33" customHeight="1">
      <c r="A293" s="11">
        <v>290</v>
      </c>
      <c r="B293" s="11" t="str">
        <f>"罗浩"</f>
        <v>罗浩</v>
      </c>
      <c r="C293" s="11" t="str">
        <f>"男        "</f>
        <v xml:space="preserve">男        </v>
      </c>
      <c r="D293" s="11" t="str">
        <f>"苗族"</f>
        <v>苗族</v>
      </c>
      <c r="E293" s="11" t="str">
        <f>"452631199212073417"</f>
        <v>452631199212073417</v>
      </c>
      <c r="F293" s="11" t="str">
        <f>"15778886234"</f>
        <v>15778886234</v>
      </c>
      <c r="G293" s="11" t="str">
        <f>"广西百色市隆林各族自治县德峨镇水井村龙吓屯"</f>
        <v>广西百色市隆林各族自治县德峨镇水井村龙吓屯</v>
      </c>
      <c r="H293" s="11" t="str">
        <f t="shared" si="35"/>
        <v>小学</v>
      </c>
      <c r="I293" s="11" t="str">
        <f t="shared" si="36"/>
        <v>103:数学</v>
      </c>
      <c r="J293" s="11" t="s">
        <v>28</v>
      </c>
      <c r="K293" s="13" t="s">
        <v>37</v>
      </c>
      <c r="L293" s="24" t="s">
        <v>45</v>
      </c>
      <c r="M293" s="21">
        <v>16</v>
      </c>
      <c r="N293" s="20"/>
    </row>
    <row r="294" spans="1:14" s="10" customFormat="1" ht="33" customHeight="1">
      <c r="A294" s="11">
        <v>291</v>
      </c>
      <c r="B294" s="11" t="str">
        <f>"唐楠"</f>
        <v>唐楠</v>
      </c>
      <c r="C294" s="11" t="str">
        <f>"女        "</f>
        <v xml:space="preserve">女        </v>
      </c>
      <c r="D294" s="11" t="str">
        <f>"汉族"</f>
        <v>汉族</v>
      </c>
      <c r="E294" s="11" t="str">
        <f>"532225199512101521"</f>
        <v>532225199512101521</v>
      </c>
      <c r="F294" s="11" t="str">
        <f>"13211805894"</f>
        <v>13211805894</v>
      </c>
      <c r="G294" s="11" t="str">
        <f>"云南省曲靖市富源县汇溪苑小区7幢"</f>
        <v>云南省曲靖市富源县汇溪苑小区7幢</v>
      </c>
      <c r="H294" s="11" t="str">
        <f t="shared" si="35"/>
        <v>小学</v>
      </c>
      <c r="I294" s="11" t="str">
        <f t="shared" si="36"/>
        <v>103:数学</v>
      </c>
      <c r="J294" s="11" t="s">
        <v>11</v>
      </c>
      <c r="K294" s="9" t="s">
        <v>29</v>
      </c>
      <c r="L294" s="22">
        <v>86.82</v>
      </c>
      <c r="M294" s="28">
        <v>1</v>
      </c>
      <c r="N294" s="20" t="s">
        <v>46</v>
      </c>
    </row>
    <row r="295" spans="1:14" s="10" customFormat="1" ht="33" customHeight="1">
      <c r="A295" s="11">
        <v>292</v>
      </c>
      <c r="B295" s="11" t="str">
        <f>"张兴秀"</f>
        <v>张兴秀</v>
      </c>
      <c r="C295" s="11" t="str">
        <f>"女        "</f>
        <v xml:space="preserve">女        </v>
      </c>
      <c r="D295" s="11" t="str">
        <f>"苗族"</f>
        <v>苗族</v>
      </c>
      <c r="E295" s="11" t="str">
        <f>"452631199509023146"</f>
        <v>452631199509023146</v>
      </c>
      <c r="F295" s="11" t="str">
        <f>"18290040176"</f>
        <v>18290040176</v>
      </c>
      <c r="G295" s="11" t="str">
        <f>"隆林商业步行街68栋"</f>
        <v>隆林商业步行街68栋</v>
      </c>
      <c r="H295" s="11" t="str">
        <f t="shared" si="35"/>
        <v>小学</v>
      </c>
      <c r="I295" s="11" t="str">
        <f t="shared" si="36"/>
        <v>103:数学</v>
      </c>
      <c r="J295" s="11" t="s">
        <v>11</v>
      </c>
      <c r="K295" s="9" t="s">
        <v>29</v>
      </c>
      <c r="L295" s="22">
        <v>84.8</v>
      </c>
      <c r="M295" s="28">
        <v>2</v>
      </c>
      <c r="N295" s="20" t="s">
        <v>46</v>
      </c>
    </row>
    <row r="296" spans="1:14" s="10" customFormat="1" ht="33" customHeight="1">
      <c r="A296" s="11">
        <v>293</v>
      </c>
      <c r="B296" s="11" t="str">
        <f>"陈念"</f>
        <v>陈念</v>
      </c>
      <c r="C296" s="11" t="str">
        <f>"女        "</f>
        <v xml:space="preserve">女        </v>
      </c>
      <c r="D296" s="11" t="str">
        <f>"壮族"</f>
        <v>壮族</v>
      </c>
      <c r="E296" s="11" t="str">
        <f>"452631199506081287"</f>
        <v>452631199506081287</v>
      </c>
      <c r="F296" s="11" t="str">
        <f>"18378617828"</f>
        <v>18378617828</v>
      </c>
      <c r="G296" s="11" t="str">
        <f>"广西百色市隆林县平班镇扁牙村"</f>
        <v>广西百色市隆林县平班镇扁牙村</v>
      </c>
      <c r="H296" s="11" t="str">
        <f t="shared" si="35"/>
        <v>小学</v>
      </c>
      <c r="I296" s="11" t="str">
        <f t="shared" si="36"/>
        <v>103:数学</v>
      </c>
      <c r="J296" s="11" t="s">
        <v>11</v>
      </c>
      <c r="K296" s="9" t="s">
        <v>29</v>
      </c>
      <c r="L296" s="22">
        <v>84.28</v>
      </c>
      <c r="M296" s="21">
        <v>3</v>
      </c>
      <c r="N296" s="20"/>
    </row>
    <row r="297" spans="1:14" s="10" customFormat="1" ht="33" customHeight="1">
      <c r="A297" s="11">
        <v>294</v>
      </c>
      <c r="B297" s="11" t="str">
        <f>"李大平"</f>
        <v>李大平</v>
      </c>
      <c r="C297" s="11" t="str">
        <f>"男        "</f>
        <v xml:space="preserve">男        </v>
      </c>
      <c r="D297" s="11" t="str">
        <f>"汉族"</f>
        <v>汉族</v>
      </c>
      <c r="E297" s="11" t="str">
        <f>"532627199309210719"</f>
        <v>532627199309210719</v>
      </c>
      <c r="F297" s="11" t="str">
        <f>"15126898169"</f>
        <v>15126898169</v>
      </c>
      <c r="G297" s="11" t="str">
        <f>"云南省文山州广南县董堡乡"</f>
        <v>云南省文山州广南县董堡乡</v>
      </c>
      <c r="H297" s="11" t="str">
        <f t="shared" si="35"/>
        <v>小学</v>
      </c>
      <c r="I297" s="11" t="str">
        <f t="shared" si="36"/>
        <v>103:数学</v>
      </c>
      <c r="J297" s="11" t="s">
        <v>11</v>
      </c>
      <c r="K297" s="9" t="s">
        <v>29</v>
      </c>
      <c r="L297" s="22">
        <v>83.78</v>
      </c>
      <c r="M297" s="21">
        <v>4</v>
      </c>
      <c r="N297" s="20"/>
    </row>
    <row r="298" spans="1:14" s="10" customFormat="1" ht="33" customHeight="1">
      <c r="A298" s="11">
        <v>295</v>
      </c>
      <c r="B298" s="11" t="str">
        <f>"周于钦"</f>
        <v>周于钦</v>
      </c>
      <c r="C298" s="11" t="str">
        <f>"男        "</f>
        <v xml:space="preserve">男        </v>
      </c>
      <c r="D298" s="11" t="str">
        <f>"汉族"</f>
        <v>汉族</v>
      </c>
      <c r="E298" s="11" t="str">
        <f>"452631199510100057"</f>
        <v>452631199510100057</v>
      </c>
      <c r="F298" s="11" t="str">
        <f>"17777644700"</f>
        <v>17777644700</v>
      </c>
      <c r="G298" s="11" t="str">
        <f>"广西百色市隆林县利通小区c栋三单元"</f>
        <v>广西百色市隆林县利通小区c栋三单元</v>
      </c>
      <c r="H298" s="11" t="str">
        <f t="shared" si="35"/>
        <v>小学</v>
      </c>
      <c r="I298" s="11" t="str">
        <f t="shared" si="36"/>
        <v>103:数学</v>
      </c>
      <c r="J298" s="11" t="s">
        <v>11</v>
      </c>
      <c r="K298" s="9" t="s">
        <v>29</v>
      </c>
      <c r="L298" s="22">
        <v>82.54</v>
      </c>
      <c r="M298" s="21">
        <v>5</v>
      </c>
      <c r="N298" s="20"/>
    </row>
    <row r="299" spans="1:14" s="10" customFormat="1" ht="33" customHeight="1">
      <c r="A299" s="11">
        <v>296</v>
      </c>
      <c r="B299" s="11" t="str">
        <f>"邓虎"</f>
        <v>邓虎</v>
      </c>
      <c r="C299" s="11" t="str">
        <f>"男        "</f>
        <v xml:space="preserve">男        </v>
      </c>
      <c r="D299" s="11" t="str">
        <f>"汉族"</f>
        <v>汉族</v>
      </c>
      <c r="E299" s="11" t="str">
        <f>"522328199509112011"</f>
        <v>522328199509112011</v>
      </c>
      <c r="F299" s="11" t="str">
        <f>"15329398119"</f>
        <v>15329398119</v>
      </c>
      <c r="G299" s="11" t="str">
        <f>"贵州省安龙县兴隆镇红星村"</f>
        <v>贵州省安龙县兴隆镇红星村</v>
      </c>
      <c r="H299" s="11" t="str">
        <f t="shared" si="35"/>
        <v>小学</v>
      </c>
      <c r="I299" s="11" t="str">
        <f t="shared" si="36"/>
        <v>103:数学</v>
      </c>
      <c r="J299" s="11" t="s">
        <v>11</v>
      </c>
      <c r="K299" s="9" t="s">
        <v>29</v>
      </c>
      <c r="L299" s="22">
        <v>82.28</v>
      </c>
      <c r="M299" s="21">
        <v>6</v>
      </c>
      <c r="N299" s="20"/>
    </row>
    <row r="300" spans="1:14" s="10" customFormat="1" ht="33" customHeight="1">
      <c r="A300" s="11">
        <v>297</v>
      </c>
      <c r="B300" s="11" t="str">
        <f>"肖继萍"</f>
        <v>肖继萍</v>
      </c>
      <c r="C300" s="11" t="str">
        <f>"女        "</f>
        <v xml:space="preserve">女        </v>
      </c>
      <c r="D300" s="11" t="str">
        <f>"汉族"</f>
        <v>汉族</v>
      </c>
      <c r="E300" s="11" t="str">
        <f>"532501199308151228"</f>
        <v>532501199308151228</v>
      </c>
      <c r="F300" s="11" t="str">
        <f>"18387389407"</f>
        <v>18387389407</v>
      </c>
      <c r="G300" s="11" t="str">
        <f>"云南省红河哈尼彝族自治州个旧市"</f>
        <v>云南省红河哈尼彝族自治州个旧市</v>
      </c>
      <c r="H300" s="11" t="str">
        <f t="shared" si="35"/>
        <v>小学</v>
      </c>
      <c r="I300" s="11" t="str">
        <f t="shared" si="36"/>
        <v>103:数学</v>
      </c>
      <c r="J300" s="11" t="s">
        <v>11</v>
      </c>
      <c r="K300" s="9" t="s">
        <v>29</v>
      </c>
      <c r="L300" s="22">
        <v>82.26</v>
      </c>
      <c r="M300" s="21">
        <v>7</v>
      </c>
      <c r="N300" s="20"/>
    </row>
    <row r="301" spans="1:14" s="10" customFormat="1" ht="33" customHeight="1">
      <c r="A301" s="11">
        <v>298</v>
      </c>
      <c r="B301" s="11" t="str">
        <f>"黄品练"</f>
        <v>黄品练</v>
      </c>
      <c r="C301" s="11" t="str">
        <f>"女        "</f>
        <v xml:space="preserve">女        </v>
      </c>
      <c r="D301" s="11" t="str">
        <f>"壮族"</f>
        <v>壮族</v>
      </c>
      <c r="E301" s="11" t="str">
        <f>"452631199211071321"</f>
        <v>452631199211071321</v>
      </c>
      <c r="F301" s="11" t="str">
        <f>"15677656317"</f>
        <v>15677656317</v>
      </c>
      <c r="G301" s="11" t="str">
        <f>""</f>
        <v/>
      </c>
      <c r="H301" s="11" t="str">
        <f t="shared" si="35"/>
        <v>小学</v>
      </c>
      <c r="I301" s="11" t="str">
        <f t="shared" si="36"/>
        <v>103:数学</v>
      </c>
      <c r="J301" s="11" t="s">
        <v>11</v>
      </c>
      <c r="K301" s="9" t="s">
        <v>29</v>
      </c>
      <c r="L301" s="22">
        <v>80.540000000000006</v>
      </c>
      <c r="M301" s="21">
        <v>8</v>
      </c>
      <c r="N301" s="20"/>
    </row>
    <row r="302" spans="1:14" s="10" customFormat="1" ht="33" customHeight="1">
      <c r="A302" s="11">
        <v>299</v>
      </c>
      <c r="B302" s="11" t="str">
        <f>"何坤凤"</f>
        <v>何坤凤</v>
      </c>
      <c r="C302" s="11" t="str">
        <f>"女        "</f>
        <v xml:space="preserve">女        </v>
      </c>
      <c r="D302" s="11" t="str">
        <f>"汉族"</f>
        <v>汉族</v>
      </c>
      <c r="E302" s="11" t="str">
        <f>"520202198902232022"</f>
        <v>520202198902232022</v>
      </c>
      <c r="F302" s="11" t="str">
        <f>"18785145591"</f>
        <v>18785145591</v>
      </c>
      <c r="G302" s="11" t="str">
        <f>"贵州省六盘水市盘县保田镇鲁楚坡四组"</f>
        <v>贵州省六盘水市盘县保田镇鲁楚坡四组</v>
      </c>
      <c r="H302" s="11" t="str">
        <f t="shared" si="35"/>
        <v>小学</v>
      </c>
      <c r="I302" s="11" t="str">
        <f t="shared" si="36"/>
        <v>103:数学</v>
      </c>
      <c r="J302" s="11" t="s">
        <v>11</v>
      </c>
      <c r="K302" s="9" t="s">
        <v>29</v>
      </c>
      <c r="L302" s="22">
        <v>80.459999999999994</v>
      </c>
      <c r="M302" s="21">
        <v>9</v>
      </c>
      <c r="N302" s="20"/>
    </row>
    <row r="303" spans="1:14" s="10" customFormat="1" ht="33" customHeight="1">
      <c r="A303" s="11">
        <v>300</v>
      </c>
      <c r="B303" s="11" t="str">
        <f>"赵呈秀"</f>
        <v>赵呈秀</v>
      </c>
      <c r="C303" s="11" t="str">
        <f>"女        "</f>
        <v xml:space="preserve">女        </v>
      </c>
      <c r="D303" s="11" t="str">
        <f>"壮族"</f>
        <v>壮族</v>
      </c>
      <c r="E303" s="11" t="str">
        <f>"452632199604100425"</f>
        <v>452632199604100425</v>
      </c>
      <c r="F303" s="11" t="str">
        <f>"18777608512"</f>
        <v>18777608512</v>
      </c>
      <c r="G303" s="11" t="str">
        <f>"广西西林县马蚌乡"</f>
        <v>广西西林县马蚌乡</v>
      </c>
      <c r="H303" s="11" t="str">
        <f t="shared" si="35"/>
        <v>小学</v>
      </c>
      <c r="I303" s="11" t="str">
        <f t="shared" si="36"/>
        <v>103:数学</v>
      </c>
      <c r="J303" s="11" t="s">
        <v>11</v>
      </c>
      <c r="K303" s="9" t="s">
        <v>29</v>
      </c>
      <c r="L303" s="22">
        <v>79.8</v>
      </c>
      <c r="M303" s="21">
        <v>10</v>
      </c>
      <c r="N303" s="20"/>
    </row>
    <row r="304" spans="1:14" s="10" customFormat="1" ht="33" customHeight="1">
      <c r="A304" s="11">
        <v>301</v>
      </c>
      <c r="B304" s="11" t="str">
        <f>"陆永春"</f>
        <v>陆永春</v>
      </c>
      <c r="C304" s="11" t="str">
        <f>"男        "</f>
        <v xml:space="preserve">男        </v>
      </c>
      <c r="D304" s="11" t="str">
        <f>"壮族"</f>
        <v>壮族</v>
      </c>
      <c r="E304" s="11" t="str">
        <f>"532627199403270718"</f>
        <v>532627199403270718</v>
      </c>
      <c r="F304" s="11" t="str">
        <f>"18593194989"</f>
        <v>18593194989</v>
      </c>
      <c r="G304" s="11" t="str">
        <f>"云南省文山壮族苗族自治州广南县董堡乡罗瓦村257号"</f>
        <v>云南省文山壮族苗族自治州广南县董堡乡罗瓦村257号</v>
      </c>
      <c r="H304" s="11" t="str">
        <f t="shared" si="35"/>
        <v>小学</v>
      </c>
      <c r="I304" s="11" t="str">
        <f t="shared" si="36"/>
        <v>103:数学</v>
      </c>
      <c r="J304" s="11" t="s">
        <v>11</v>
      </c>
      <c r="K304" s="9" t="s">
        <v>29</v>
      </c>
      <c r="L304" s="22">
        <v>79.48</v>
      </c>
      <c r="M304" s="21">
        <v>11</v>
      </c>
      <c r="N304" s="20"/>
    </row>
    <row r="305" spans="1:14" s="10" customFormat="1" ht="33" customHeight="1">
      <c r="A305" s="11">
        <v>302</v>
      </c>
      <c r="B305" s="11" t="str">
        <f>"吴耀峰"</f>
        <v>吴耀峰</v>
      </c>
      <c r="C305" s="11" t="str">
        <f>"男        "</f>
        <v xml:space="preserve">男        </v>
      </c>
      <c r="D305" s="11" t="str">
        <f>"汉族"</f>
        <v>汉族</v>
      </c>
      <c r="E305" s="11" t="str">
        <f>"452631199309240998"</f>
        <v>452631199309240998</v>
      </c>
      <c r="F305" s="11" t="str">
        <f>"18731698976"</f>
        <v>18731698976</v>
      </c>
      <c r="G305" s="11" t="str">
        <f>""</f>
        <v/>
      </c>
      <c r="H305" s="11" t="str">
        <f t="shared" si="35"/>
        <v>小学</v>
      </c>
      <c r="I305" s="11" t="str">
        <f t="shared" si="36"/>
        <v>103:数学</v>
      </c>
      <c r="J305" s="11" t="s">
        <v>11</v>
      </c>
      <c r="K305" s="9" t="s">
        <v>29</v>
      </c>
      <c r="L305" s="22">
        <v>77.86</v>
      </c>
      <c r="M305" s="21">
        <v>12</v>
      </c>
      <c r="N305" s="20"/>
    </row>
    <row r="306" spans="1:14" s="10" customFormat="1" ht="33" customHeight="1">
      <c r="A306" s="11">
        <v>303</v>
      </c>
      <c r="B306" s="11" t="str">
        <f>"罗建生"</f>
        <v>罗建生</v>
      </c>
      <c r="C306" s="11" t="str">
        <f>"男        "</f>
        <v xml:space="preserve">男        </v>
      </c>
      <c r="D306" s="11" t="str">
        <f>"布依族"</f>
        <v>布依族</v>
      </c>
      <c r="E306" s="11" t="str">
        <f>"522326198902281818"</f>
        <v>522326198902281818</v>
      </c>
      <c r="F306" s="11" t="str">
        <f>"18798722481"</f>
        <v>18798722481</v>
      </c>
      <c r="G306" s="11" t="str">
        <f>""</f>
        <v/>
      </c>
      <c r="H306" s="11" t="str">
        <f t="shared" si="35"/>
        <v>小学</v>
      </c>
      <c r="I306" s="11" t="str">
        <f t="shared" si="36"/>
        <v>103:数学</v>
      </c>
      <c r="J306" s="11" t="s">
        <v>11</v>
      </c>
      <c r="K306" s="9" t="s">
        <v>29</v>
      </c>
      <c r="L306" s="22">
        <v>77.260000000000005</v>
      </c>
      <c r="M306" s="21">
        <v>13</v>
      </c>
      <c r="N306" s="20"/>
    </row>
    <row r="307" spans="1:14" s="10" customFormat="1" ht="33" customHeight="1">
      <c r="A307" s="11">
        <v>304</v>
      </c>
      <c r="B307" s="11" t="str">
        <f>"李星融"</f>
        <v>李星融</v>
      </c>
      <c r="C307" s="11" t="str">
        <f>"女        "</f>
        <v xml:space="preserve">女        </v>
      </c>
      <c r="D307" s="11" t="str">
        <f>"苗族"</f>
        <v>苗族</v>
      </c>
      <c r="E307" s="11" t="str">
        <f>"452631199312183146"</f>
        <v>452631199312183146</v>
      </c>
      <c r="F307" s="11" t="str">
        <f>"13558110251"</f>
        <v>13558110251</v>
      </c>
      <c r="G307" s="11" t="str">
        <f>"广西隆林各族自治县德峨镇金平村干上屯002号"</f>
        <v>广西隆林各族自治县德峨镇金平村干上屯002号</v>
      </c>
      <c r="H307" s="11" t="str">
        <f t="shared" ref="H307:H338" si="37">"小学"</f>
        <v>小学</v>
      </c>
      <c r="I307" s="11" t="str">
        <f t="shared" ref="I307:I318" si="38">"103:数学"</f>
        <v>103:数学</v>
      </c>
      <c r="J307" s="11" t="s">
        <v>11</v>
      </c>
      <c r="K307" s="9" t="s">
        <v>29</v>
      </c>
      <c r="L307" s="22">
        <v>77.099999999999994</v>
      </c>
      <c r="M307" s="21">
        <v>14</v>
      </c>
      <c r="N307" s="20"/>
    </row>
    <row r="308" spans="1:14" s="10" customFormat="1" ht="33" customHeight="1">
      <c r="A308" s="11">
        <v>305</v>
      </c>
      <c r="B308" s="11" t="str">
        <f>"徐华"</f>
        <v>徐华</v>
      </c>
      <c r="C308" s="11" t="str">
        <f>"男        "</f>
        <v xml:space="preserve">男        </v>
      </c>
      <c r="D308" s="11" t="str">
        <f>"汉族"</f>
        <v>汉族</v>
      </c>
      <c r="E308" s="11" t="str">
        <f>"452631199402090998"</f>
        <v>452631199402090998</v>
      </c>
      <c r="F308" s="11" t="str">
        <f>"15777697594"</f>
        <v>15777697594</v>
      </c>
      <c r="G308" s="11" t="str">
        <f>"广西隆林各族自治县隆或乡沙保村用井屯012号"</f>
        <v>广西隆林各族自治县隆或乡沙保村用井屯012号</v>
      </c>
      <c r="H308" s="11" t="str">
        <f t="shared" si="37"/>
        <v>小学</v>
      </c>
      <c r="I308" s="11" t="str">
        <f t="shared" si="38"/>
        <v>103:数学</v>
      </c>
      <c r="J308" s="11" t="s">
        <v>11</v>
      </c>
      <c r="K308" s="9" t="s">
        <v>29</v>
      </c>
      <c r="L308" s="22">
        <v>76.319999999999993</v>
      </c>
      <c r="M308" s="21">
        <v>15</v>
      </c>
      <c r="N308" s="20"/>
    </row>
    <row r="309" spans="1:14" s="10" customFormat="1" ht="33" customHeight="1">
      <c r="A309" s="11">
        <v>306</v>
      </c>
      <c r="B309" s="11" t="str">
        <f>"何贵珍"</f>
        <v>何贵珍</v>
      </c>
      <c r="C309" s="11" t="str">
        <f>"女        "</f>
        <v xml:space="preserve">女        </v>
      </c>
      <c r="D309" s="11" t="str">
        <f>"汉族"</f>
        <v>汉族</v>
      </c>
      <c r="E309" s="11" t="str">
        <f>"522328199407140847"</f>
        <v>522328199407140847</v>
      </c>
      <c r="F309" s="11" t="str">
        <f>"15186385778"</f>
        <v>15186385778</v>
      </c>
      <c r="G309" s="11" t="str">
        <f>""</f>
        <v/>
      </c>
      <c r="H309" s="11" t="str">
        <f t="shared" si="37"/>
        <v>小学</v>
      </c>
      <c r="I309" s="11" t="str">
        <f t="shared" si="38"/>
        <v>103:数学</v>
      </c>
      <c r="J309" s="11" t="s">
        <v>11</v>
      </c>
      <c r="K309" s="9" t="s">
        <v>29</v>
      </c>
      <c r="L309" s="22">
        <v>74.88</v>
      </c>
      <c r="M309" s="21">
        <v>16</v>
      </c>
      <c r="N309" s="20"/>
    </row>
    <row r="310" spans="1:14" s="10" customFormat="1" ht="33" customHeight="1">
      <c r="A310" s="11">
        <v>307</v>
      </c>
      <c r="B310" s="11" t="str">
        <f>"邱波"</f>
        <v>邱波</v>
      </c>
      <c r="C310" s="11" t="str">
        <f>"女        "</f>
        <v xml:space="preserve">女        </v>
      </c>
      <c r="D310" s="11" t="str">
        <f>"汉族"</f>
        <v>汉族</v>
      </c>
      <c r="E310" s="11" t="str">
        <f>"452631199404134405"</f>
        <v>452631199404134405</v>
      </c>
      <c r="F310" s="11" t="str">
        <f>"18777645438"</f>
        <v>18777645438</v>
      </c>
      <c r="G310" s="11" t="str">
        <f>"广西隆林各族自治县克长乡猴场村猴场屯"</f>
        <v>广西隆林各族自治县克长乡猴场村猴场屯</v>
      </c>
      <c r="H310" s="11" t="str">
        <f t="shared" si="37"/>
        <v>小学</v>
      </c>
      <c r="I310" s="11" t="str">
        <f t="shared" si="38"/>
        <v>103:数学</v>
      </c>
      <c r="J310" s="11" t="s">
        <v>11</v>
      </c>
      <c r="K310" s="9" t="s">
        <v>29</v>
      </c>
      <c r="L310" s="22">
        <v>74.2</v>
      </c>
      <c r="M310" s="21">
        <v>17</v>
      </c>
      <c r="N310" s="20"/>
    </row>
    <row r="311" spans="1:14" s="10" customFormat="1" ht="33" customHeight="1">
      <c r="A311" s="11">
        <v>308</v>
      </c>
      <c r="B311" s="11" t="str">
        <f>"王振吕"</f>
        <v>王振吕</v>
      </c>
      <c r="C311" s="11" t="str">
        <f>"男        "</f>
        <v xml:space="preserve">男        </v>
      </c>
      <c r="D311" s="11" t="str">
        <f>"汉族"</f>
        <v>汉族</v>
      </c>
      <c r="E311" s="11" t="str">
        <f>"530322199312162658"</f>
        <v>530322199312162658</v>
      </c>
      <c r="F311" s="11" t="str">
        <f>"18387943929"</f>
        <v>18387943929</v>
      </c>
      <c r="G311" s="11" t="str">
        <f>"云南省曲靖市陆良县小百户镇永清河委会永清河村"</f>
        <v>云南省曲靖市陆良县小百户镇永清河委会永清河村</v>
      </c>
      <c r="H311" s="11" t="str">
        <f t="shared" si="37"/>
        <v>小学</v>
      </c>
      <c r="I311" s="11" t="str">
        <f t="shared" si="38"/>
        <v>103:数学</v>
      </c>
      <c r="J311" s="11" t="s">
        <v>11</v>
      </c>
      <c r="K311" s="9" t="s">
        <v>29</v>
      </c>
      <c r="L311" s="22">
        <v>73.540000000000006</v>
      </c>
      <c r="M311" s="21">
        <v>18</v>
      </c>
      <c r="N311" s="20"/>
    </row>
    <row r="312" spans="1:14" s="10" customFormat="1" ht="33" customHeight="1">
      <c r="A312" s="11">
        <v>309</v>
      </c>
      <c r="B312" s="11" t="str">
        <f>"杨康法"</f>
        <v>杨康法</v>
      </c>
      <c r="C312" s="11" t="str">
        <f>"男        "</f>
        <v xml:space="preserve">男        </v>
      </c>
      <c r="D312" s="11" t="str">
        <f>"苗族"</f>
        <v>苗族</v>
      </c>
      <c r="E312" s="11" t="str">
        <f>"452631199112204395"</f>
        <v>452631199112204395</v>
      </c>
      <c r="F312" s="11" t="str">
        <f>"18276643292"</f>
        <v>18276643292</v>
      </c>
      <c r="G312" s="11" t="str">
        <f>"广西百色市隆林各族自治县克长乡"</f>
        <v>广西百色市隆林各族自治县克长乡</v>
      </c>
      <c r="H312" s="11" t="str">
        <f t="shared" si="37"/>
        <v>小学</v>
      </c>
      <c r="I312" s="11" t="str">
        <f t="shared" si="38"/>
        <v>103:数学</v>
      </c>
      <c r="J312" s="11" t="s">
        <v>11</v>
      </c>
      <c r="K312" s="9" t="s">
        <v>29</v>
      </c>
      <c r="L312" s="22">
        <v>71.34</v>
      </c>
      <c r="M312" s="21">
        <v>19</v>
      </c>
      <c r="N312" s="20"/>
    </row>
    <row r="313" spans="1:14" s="10" customFormat="1" ht="33" customHeight="1">
      <c r="A313" s="11">
        <v>310</v>
      </c>
      <c r="B313" s="11" t="str">
        <f>"吴东宇"</f>
        <v>吴东宇</v>
      </c>
      <c r="C313" s="11" t="str">
        <f>"男        "</f>
        <v xml:space="preserve">男        </v>
      </c>
      <c r="D313" s="11" t="str">
        <f>"壮族"</f>
        <v>壮族</v>
      </c>
      <c r="E313" s="11" t="str">
        <f>"452632199608302817"</f>
        <v>452632199608302817</v>
      </c>
      <c r="F313" s="11" t="str">
        <f>"18277149837"</f>
        <v>18277149837</v>
      </c>
      <c r="G313" s="11" t="str">
        <f>"广西西林县那劳镇那劳村老街屯052号"</f>
        <v>广西西林县那劳镇那劳村老街屯052号</v>
      </c>
      <c r="H313" s="11" t="str">
        <f t="shared" si="37"/>
        <v>小学</v>
      </c>
      <c r="I313" s="11" t="str">
        <f t="shared" si="38"/>
        <v>103:数学</v>
      </c>
      <c r="J313" s="11" t="s">
        <v>11</v>
      </c>
      <c r="K313" s="9" t="s">
        <v>29</v>
      </c>
      <c r="L313" s="22">
        <v>64</v>
      </c>
      <c r="M313" s="21">
        <v>20</v>
      </c>
      <c r="N313" s="20"/>
    </row>
    <row r="314" spans="1:14" s="10" customFormat="1" ht="33" customHeight="1">
      <c r="A314" s="11">
        <v>311</v>
      </c>
      <c r="B314" s="11" t="str">
        <f>"龙锦新"</f>
        <v>龙锦新</v>
      </c>
      <c r="C314" s="11" t="str">
        <f>"男        "</f>
        <v xml:space="preserve">男        </v>
      </c>
      <c r="D314" s="11" t="str">
        <f>"彝族"</f>
        <v>彝族</v>
      </c>
      <c r="E314" s="11" t="str">
        <f>"522322199106091334"</f>
        <v>522322199106091334</v>
      </c>
      <c r="F314" s="11" t="str">
        <f>"18748830277"</f>
        <v>18748830277</v>
      </c>
      <c r="G314" s="11" t="str">
        <f>"贵州省兴仁县新马场乡围豹村二组1号"</f>
        <v>贵州省兴仁县新马场乡围豹村二组1号</v>
      </c>
      <c r="H314" s="11" t="str">
        <f t="shared" si="37"/>
        <v>小学</v>
      </c>
      <c r="I314" s="11" t="str">
        <f t="shared" si="38"/>
        <v>103:数学</v>
      </c>
      <c r="J314" s="11" t="s">
        <v>11</v>
      </c>
      <c r="K314" s="9" t="s">
        <v>29</v>
      </c>
      <c r="L314" s="22">
        <v>61.32</v>
      </c>
      <c r="M314" s="21">
        <v>21</v>
      </c>
      <c r="N314" s="20"/>
    </row>
    <row r="315" spans="1:14" s="10" customFormat="1" ht="33" customHeight="1">
      <c r="A315" s="11">
        <v>312</v>
      </c>
      <c r="B315" s="11" t="str">
        <f>"王海娟"</f>
        <v>王海娟</v>
      </c>
      <c r="C315" s="11" t="str">
        <f>"女        "</f>
        <v xml:space="preserve">女        </v>
      </c>
      <c r="D315" s="11" t="str">
        <f>"壮族"</f>
        <v>壮族</v>
      </c>
      <c r="E315" s="11" t="str">
        <f>"452631199610084584"</f>
        <v>452631199610084584</v>
      </c>
      <c r="F315" s="11" t="str">
        <f>"15878727228"</f>
        <v>15878727228</v>
      </c>
      <c r="G315" s="11" t="str">
        <f>"广西隆林各族自治县岩茶乡卡白村下寒屯20号"</f>
        <v>广西隆林各族自治县岩茶乡卡白村下寒屯20号</v>
      </c>
      <c r="H315" s="11" t="str">
        <f t="shared" si="37"/>
        <v>小学</v>
      </c>
      <c r="I315" s="11" t="str">
        <f t="shared" si="38"/>
        <v>103:数学</v>
      </c>
      <c r="J315" s="11" t="s">
        <v>11</v>
      </c>
      <c r="K315" s="9" t="s">
        <v>29</v>
      </c>
      <c r="L315" s="24" t="s">
        <v>45</v>
      </c>
      <c r="M315" s="21">
        <v>22</v>
      </c>
      <c r="N315" s="20"/>
    </row>
    <row r="316" spans="1:14" s="10" customFormat="1" ht="33" customHeight="1">
      <c r="A316" s="11">
        <v>313</v>
      </c>
      <c r="B316" s="11" t="str">
        <f>"朱习元"</f>
        <v>朱习元</v>
      </c>
      <c r="C316" s="11" t="str">
        <f>"男        "</f>
        <v xml:space="preserve">男        </v>
      </c>
      <c r="D316" s="11" t="str">
        <f>"苗族"</f>
        <v>苗族</v>
      </c>
      <c r="E316" s="11" t="str">
        <f>"522326199705151672"</f>
        <v>522326199705151672</v>
      </c>
      <c r="F316" s="11" t="str">
        <f>"13595657046"</f>
        <v>13595657046</v>
      </c>
      <c r="G316" s="11" t="str">
        <f>"贵州省望谟县新屯镇坪湘村朱家堡组"</f>
        <v>贵州省望谟县新屯镇坪湘村朱家堡组</v>
      </c>
      <c r="H316" s="11" t="str">
        <f t="shared" si="37"/>
        <v>小学</v>
      </c>
      <c r="I316" s="11" t="str">
        <f t="shared" si="38"/>
        <v>103:数学</v>
      </c>
      <c r="J316" s="11" t="s">
        <v>11</v>
      </c>
      <c r="K316" s="9" t="s">
        <v>29</v>
      </c>
      <c r="L316" s="24" t="s">
        <v>45</v>
      </c>
      <c r="M316" s="21">
        <v>23</v>
      </c>
      <c r="N316" s="20"/>
    </row>
    <row r="317" spans="1:14" s="10" customFormat="1" ht="33" customHeight="1">
      <c r="A317" s="11">
        <v>314</v>
      </c>
      <c r="B317" s="11" t="str">
        <f>"孔德江"</f>
        <v>孔德江</v>
      </c>
      <c r="C317" s="11" t="str">
        <f>"男        "</f>
        <v xml:space="preserve">男        </v>
      </c>
      <c r="D317" s="11" t="str">
        <f>"汉族"</f>
        <v>汉族</v>
      </c>
      <c r="E317" s="11" t="str">
        <f>"522323199110260010"</f>
        <v>522323199110260010</v>
      </c>
      <c r="F317" s="11" t="str">
        <f>"15761681740"</f>
        <v>15761681740</v>
      </c>
      <c r="G317" s="11" t="str">
        <f>"贵州省普安县盘水镇文笔村小关岭组"</f>
        <v>贵州省普安县盘水镇文笔村小关岭组</v>
      </c>
      <c r="H317" s="11" t="str">
        <f t="shared" si="37"/>
        <v>小学</v>
      </c>
      <c r="I317" s="11" t="str">
        <f t="shared" si="38"/>
        <v>103:数学</v>
      </c>
      <c r="J317" s="11" t="s">
        <v>11</v>
      </c>
      <c r="K317" s="9" t="s">
        <v>29</v>
      </c>
      <c r="L317" s="24" t="s">
        <v>45</v>
      </c>
      <c r="M317" s="21">
        <v>24</v>
      </c>
      <c r="N317" s="20"/>
    </row>
    <row r="318" spans="1:14" s="10" customFormat="1" ht="33" customHeight="1">
      <c r="A318" s="11">
        <v>315</v>
      </c>
      <c r="B318" s="11" t="str">
        <f>"刘星敏"</f>
        <v>刘星敏</v>
      </c>
      <c r="C318" s="11" t="str">
        <f>"女        "</f>
        <v xml:space="preserve">女        </v>
      </c>
      <c r="D318" s="11" t="str">
        <f>"布依族"</f>
        <v>布依族</v>
      </c>
      <c r="E318" s="11" t="str">
        <f>"530324199306100744"</f>
        <v>530324199306100744</v>
      </c>
      <c r="F318" s="11" t="str">
        <f>"15908881967"</f>
        <v>15908881967</v>
      </c>
      <c r="G318" s="11" t="str">
        <f>"云南省曲靖市罗平县鲁布革乡多依村委会多依村"</f>
        <v>云南省曲靖市罗平县鲁布革乡多依村委会多依村</v>
      </c>
      <c r="H318" s="11" t="str">
        <f t="shared" si="37"/>
        <v>小学</v>
      </c>
      <c r="I318" s="11" t="str">
        <f t="shared" si="38"/>
        <v>103:数学</v>
      </c>
      <c r="J318" s="11" t="s">
        <v>11</v>
      </c>
      <c r="K318" s="9" t="s">
        <v>29</v>
      </c>
      <c r="L318" s="24" t="s">
        <v>45</v>
      </c>
      <c r="M318" s="21">
        <v>25</v>
      </c>
      <c r="N318" s="20"/>
    </row>
    <row r="319" spans="1:14" s="10" customFormat="1" ht="33" customHeight="1">
      <c r="A319" s="11">
        <v>316</v>
      </c>
      <c r="B319" s="11" t="str">
        <f>"黄瑄"</f>
        <v>黄瑄</v>
      </c>
      <c r="C319" s="11" t="str">
        <f>"女        "</f>
        <v xml:space="preserve">女        </v>
      </c>
      <c r="D319" s="11" t="str">
        <f>"汉族"</f>
        <v>汉族</v>
      </c>
      <c r="E319" s="11" t="str">
        <f>"45263119921013292x"</f>
        <v>45263119921013292x</v>
      </c>
      <c r="F319" s="11" t="str">
        <f>"15678899973"</f>
        <v>15678899973</v>
      </c>
      <c r="G319" s="11" t="str">
        <f>"广西隆林各族自治县金钟山乡平流村杨家湾屯002号"</f>
        <v>广西隆林各族自治县金钟山乡平流村杨家湾屯002号</v>
      </c>
      <c r="H319" s="11" t="str">
        <f t="shared" si="37"/>
        <v>小学</v>
      </c>
      <c r="I319" s="11" t="str">
        <f t="shared" ref="I319:I350" si="39">"102:语文"</f>
        <v>102:语文</v>
      </c>
      <c r="J319" s="11" t="s">
        <v>12</v>
      </c>
      <c r="K319" s="12" t="s">
        <v>38</v>
      </c>
      <c r="L319" s="22">
        <v>89.74</v>
      </c>
      <c r="M319" s="28">
        <v>1</v>
      </c>
      <c r="N319" s="20" t="s">
        <v>46</v>
      </c>
    </row>
    <row r="320" spans="1:14" s="10" customFormat="1" ht="33" customHeight="1">
      <c r="A320" s="11">
        <v>317</v>
      </c>
      <c r="B320" s="11" t="str">
        <f>"黄周"</f>
        <v>黄周</v>
      </c>
      <c r="C320" s="11" t="str">
        <f>"男        "</f>
        <v xml:space="preserve">男        </v>
      </c>
      <c r="D320" s="11" t="str">
        <f>"汉族"</f>
        <v>汉族</v>
      </c>
      <c r="E320" s="11" t="str">
        <f>"452631199701010994"</f>
        <v>452631199701010994</v>
      </c>
      <c r="F320" s="11" t="str">
        <f>"18278615815"</f>
        <v>18278615815</v>
      </c>
      <c r="G320" s="11" t="str">
        <f>"广西隆林各族自治县隆或镇马卡村陇刚屯085号"</f>
        <v>广西隆林各族自治县隆或镇马卡村陇刚屯085号</v>
      </c>
      <c r="H320" s="11" t="str">
        <f t="shared" si="37"/>
        <v>小学</v>
      </c>
      <c r="I320" s="11" t="str">
        <f t="shared" si="39"/>
        <v>102:语文</v>
      </c>
      <c r="J320" s="11" t="s">
        <v>12</v>
      </c>
      <c r="K320" s="12" t="s">
        <v>38</v>
      </c>
      <c r="L320" s="22">
        <v>87.4</v>
      </c>
      <c r="M320" s="28">
        <v>2</v>
      </c>
      <c r="N320" s="20" t="s">
        <v>46</v>
      </c>
    </row>
    <row r="321" spans="1:14" s="10" customFormat="1" ht="33" customHeight="1">
      <c r="A321" s="11">
        <v>318</v>
      </c>
      <c r="B321" s="11" t="str">
        <f>"常玉林"</f>
        <v>常玉林</v>
      </c>
      <c r="C321" s="11" t="str">
        <f>"女        "</f>
        <v xml:space="preserve">女        </v>
      </c>
      <c r="D321" s="11" t="str">
        <f>"汉族"</f>
        <v>汉族</v>
      </c>
      <c r="E321" s="11" t="str">
        <f>"530322199204032645"</f>
        <v>530322199204032645</v>
      </c>
      <c r="F321" s="11" t="str">
        <f>"18208749681"</f>
        <v>18208749681</v>
      </c>
      <c r="G321" s="11" t="str">
        <f>"云南省曲靖市陆良县小百户镇双官堡村委会230号"</f>
        <v>云南省曲靖市陆良县小百户镇双官堡村委会230号</v>
      </c>
      <c r="H321" s="11" t="str">
        <f t="shared" si="37"/>
        <v>小学</v>
      </c>
      <c r="I321" s="11" t="str">
        <f t="shared" si="39"/>
        <v>102:语文</v>
      </c>
      <c r="J321" s="11" t="s">
        <v>12</v>
      </c>
      <c r="K321" s="12" t="s">
        <v>38</v>
      </c>
      <c r="L321" s="22">
        <v>84.34</v>
      </c>
      <c r="M321" s="21">
        <v>3</v>
      </c>
      <c r="N321" s="20"/>
    </row>
    <row r="322" spans="1:14" s="10" customFormat="1" ht="33" customHeight="1">
      <c r="A322" s="11">
        <v>319</v>
      </c>
      <c r="B322" s="11" t="str">
        <f>"奠虎"</f>
        <v>奠虎</v>
      </c>
      <c r="C322" s="11" t="str">
        <f>"男        "</f>
        <v xml:space="preserve">男        </v>
      </c>
      <c r="D322" s="11" t="str">
        <f>"汉族"</f>
        <v>汉族</v>
      </c>
      <c r="E322" s="11" t="str">
        <f>"53032519930110139X"</f>
        <v>53032519930110139X</v>
      </c>
      <c r="F322" s="11" t="str">
        <f>"15288083914"</f>
        <v>15288083914</v>
      </c>
      <c r="G322" s="11" t="str">
        <f>"云南省曲靖市富源县富村镇"</f>
        <v>云南省曲靖市富源县富村镇</v>
      </c>
      <c r="H322" s="11" t="str">
        <f t="shared" si="37"/>
        <v>小学</v>
      </c>
      <c r="I322" s="11" t="str">
        <f t="shared" si="39"/>
        <v>102:语文</v>
      </c>
      <c r="J322" s="11" t="s">
        <v>12</v>
      </c>
      <c r="K322" s="12" t="s">
        <v>38</v>
      </c>
      <c r="L322" s="22">
        <v>84.28</v>
      </c>
      <c r="M322" s="21">
        <v>4</v>
      </c>
      <c r="N322" s="20"/>
    </row>
    <row r="323" spans="1:14" s="10" customFormat="1" ht="33" customHeight="1">
      <c r="A323" s="11">
        <v>320</v>
      </c>
      <c r="B323" s="11" t="str">
        <f>"李列胜"</f>
        <v>李列胜</v>
      </c>
      <c r="C323" s="11" t="str">
        <f>"男        "</f>
        <v xml:space="preserve">男        </v>
      </c>
      <c r="D323" s="11" t="str">
        <f>"彝族"</f>
        <v>彝族</v>
      </c>
      <c r="E323" s="11" t="str">
        <f>"522322199308101852"</f>
        <v>522322199308101852</v>
      </c>
      <c r="F323" s="11" t="str">
        <f>"18788796677"</f>
        <v>18788796677</v>
      </c>
      <c r="G323" s="11" t="str">
        <f>"贵州省兴仁县鲁础营回族乡"</f>
        <v>贵州省兴仁县鲁础营回族乡</v>
      </c>
      <c r="H323" s="11" t="str">
        <f t="shared" si="37"/>
        <v>小学</v>
      </c>
      <c r="I323" s="11" t="str">
        <f t="shared" si="39"/>
        <v>102:语文</v>
      </c>
      <c r="J323" s="11" t="s">
        <v>12</v>
      </c>
      <c r="K323" s="12" t="s">
        <v>38</v>
      </c>
      <c r="L323" s="22">
        <v>81.239999999999995</v>
      </c>
      <c r="M323" s="21">
        <v>5</v>
      </c>
      <c r="N323" s="20"/>
    </row>
    <row r="324" spans="1:14" s="10" customFormat="1" ht="33" customHeight="1">
      <c r="A324" s="11">
        <v>321</v>
      </c>
      <c r="B324" s="11" t="str">
        <f>"熊飞"</f>
        <v>熊飞</v>
      </c>
      <c r="C324" s="11" t="str">
        <f>"男        "</f>
        <v xml:space="preserve">男        </v>
      </c>
      <c r="D324" s="11" t="str">
        <f>"苗族"</f>
        <v>苗族</v>
      </c>
      <c r="E324" s="11" t="str">
        <f>"452631199108063657"</f>
        <v>452631199108063657</v>
      </c>
      <c r="F324" s="11" t="str">
        <f>"18778681079"</f>
        <v>18778681079</v>
      </c>
      <c r="G324" s="11" t="str">
        <f>"百色市隆林各族自治县猪场乡那岩村大田坝社15号"</f>
        <v>百色市隆林各族自治县猪场乡那岩村大田坝社15号</v>
      </c>
      <c r="H324" s="11" t="str">
        <f t="shared" si="37"/>
        <v>小学</v>
      </c>
      <c r="I324" s="11" t="str">
        <f t="shared" si="39"/>
        <v>102:语文</v>
      </c>
      <c r="J324" s="11" t="s">
        <v>12</v>
      </c>
      <c r="K324" s="12" t="s">
        <v>38</v>
      </c>
      <c r="L324" s="22">
        <v>79.260000000000005</v>
      </c>
      <c r="M324" s="21">
        <v>6</v>
      </c>
      <c r="N324" s="20"/>
    </row>
    <row r="325" spans="1:14" s="10" customFormat="1" ht="33" customHeight="1">
      <c r="A325" s="11">
        <v>322</v>
      </c>
      <c r="B325" s="11" t="str">
        <f>"胡娅"</f>
        <v>胡娅</v>
      </c>
      <c r="C325" s="11" t="str">
        <f>"女        "</f>
        <v xml:space="preserve">女        </v>
      </c>
      <c r="D325" s="11" t="str">
        <f>"汉族"</f>
        <v>汉族</v>
      </c>
      <c r="E325" s="11" t="str">
        <f>"520122199201242628"</f>
        <v>520122199201242628</v>
      </c>
      <c r="F325" s="11" t="str">
        <f>"15186956760"</f>
        <v>15186956760</v>
      </c>
      <c r="G325" s="11" t="str">
        <f>"贵州省册亨县双江镇顶肖小学"</f>
        <v>贵州省册亨县双江镇顶肖小学</v>
      </c>
      <c r="H325" s="11" t="str">
        <f t="shared" si="37"/>
        <v>小学</v>
      </c>
      <c r="I325" s="11" t="str">
        <f t="shared" si="39"/>
        <v>102:语文</v>
      </c>
      <c r="J325" s="11" t="s">
        <v>12</v>
      </c>
      <c r="K325" s="12" t="s">
        <v>38</v>
      </c>
      <c r="L325" s="22">
        <v>77.400000000000006</v>
      </c>
      <c r="M325" s="21">
        <v>7</v>
      </c>
      <c r="N325" s="20"/>
    </row>
    <row r="326" spans="1:14" s="10" customFormat="1" ht="33" customHeight="1">
      <c r="A326" s="11">
        <v>323</v>
      </c>
      <c r="B326" s="11" t="str">
        <f>"吴祥焕"</f>
        <v>吴祥焕</v>
      </c>
      <c r="C326" s="11" t="str">
        <f>"女        "</f>
        <v xml:space="preserve">女        </v>
      </c>
      <c r="D326" s="11" t="str">
        <f>"布依族"</f>
        <v>布依族</v>
      </c>
      <c r="E326" s="11" t="str">
        <f>"522328199507020826"</f>
        <v>522328199507020826</v>
      </c>
      <c r="F326" s="11" t="str">
        <f>"18085915258"</f>
        <v>18085915258</v>
      </c>
      <c r="G326" s="11" t="str">
        <f>"贵州省安龙县龙广镇纳桃村"</f>
        <v>贵州省安龙县龙广镇纳桃村</v>
      </c>
      <c r="H326" s="11" t="str">
        <f t="shared" si="37"/>
        <v>小学</v>
      </c>
      <c r="I326" s="11" t="str">
        <f t="shared" si="39"/>
        <v>102:语文</v>
      </c>
      <c r="J326" s="11" t="s">
        <v>12</v>
      </c>
      <c r="K326" s="12" t="s">
        <v>38</v>
      </c>
      <c r="L326" s="22">
        <v>74.900000000000006</v>
      </c>
      <c r="M326" s="21">
        <v>8</v>
      </c>
      <c r="N326" s="20"/>
    </row>
    <row r="327" spans="1:14" s="10" customFormat="1" ht="33" customHeight="1">
      <c r="A327" s="11">
        <v>324</v>
      </c>
      <c r="B327" s="11" t="str">
        <f>"张良芬"</f>
        <v>张良芬</v>
      </c>
      <c r="C327" s="11" t="str">
        <f>"女        "</f>
        <v xml:space="preserve">女        </v>
      </c>
      <c r="D327" s="11" t="str">
        <f>"汉族"</f>
        <v>汉族</v>
      </c>
      <c r="E327" s="11" t="str">
        <f>"522326199405101622"</f>
        <v>522326199405101622</v>
      </c>
      <c r="F327" s="11" t="str">
        <f>"18748804122"</f>
        <v>18748804122</v>
      </c>
      <c r="G327" s="11" t="str">
        <f>"贵州省望谟县新屯镇里牛村张家湾组"</f>
        <v>贵州省望谟县新屯镇里牛村张家湾组</v>
      </c>
      <c r="H327" s="11" t="str">
        <f t="shared" si="37"/>
        <v>小学</v>
      </c>
      <c r="I327" s="11" t="str">
        <f t="shared" si="39"/>
        <v>102:语文</v>
      </c>
      <c r="J327" s="11" t="s">
        <v>12</v>
      </c>
      <c r="K327" s="12" t="s">
        <v>38</v>
      </c>
      <c r="L327" s="22">
        <v>70.7</v>
      </c>
      <c r="M327" s="21">
        <v>9</v>
      </c>
      <c r="N327" s="20"/>
    </row>
    <row r="328" spans="1:14" s="10" customFormat="1" ht="33" customHeight="1">
      <c r="A328" s="11">
        <v>325</v>
      </c>
      <c r="B328" s="11" t="str">
        <f>"张彪"</f>
        <v>张彪</v>
      </c>
      <c r="C328" s="11" t="str">
        <f>"男        "</f>
        <v xml:space="preserve">男        </v>
      </c>
      <c r="D328" s="11" t="str">
        <f>"汉族"</f>
        <v>汉族</v>
      </c>
      <c r="E328" s="11" t="str">
        <f>"532225199011111537"</f>
        <v>532225199011111537</v>
      </c>
      <c r="F328" s="11" t="str">
        <f>"15154826497"</f>
        <v>15154826497</v>
      </c>
      <c r="G328" s="11" t="str">
        <f>"云南省曲靖市富源县黄泥河镇小羊场村"</f>
        <v>云南省曲靖市富源县黄泥河镇小羊场村</v>
      </c>
      <c r="H328" s="11" t="str">
        <f t="shared" si="37"/>
        <v>小学</v>
      </c>
      <c r="I328" s="11" t="str">
        <f t="shared" si="39"/>
        <v>102:语文</v>
      </c>
      <c r="J328" s="11" t="s">
        <v>12</v>
      </c>
      <c r="K328" s="12" t="s">
        <v>38</v>
      </c>
      <c r="L328" s="24" t="s">
        <v>49</v>
      </c>
      <c r="M328" s="21">
        <v>10</v>
      </c>
      <c r="N328" s="20"/>
    </row>
    <row r="329" spans="1:14" s="10" customFormat="1" ht="33" customHeight="1">
      <c r="A329" s="11">
        <v>326</v>
      </c>
      <c r="B329" s="11" t="str">
        <f>"张洪利"</f>
        <v>张洪利</v>
      </c>
      <c r="C329" s="11" t="str">
        <f>"男        "</f>
        <v xml:space="preserve">男        </v>
      </c>
      <c r="D329" s="11" t="str">
        <f>"汉族"</f>
        <v>汉族</v>
      </c>
      <c r="E329" s="11" t="str">
        <f>"522130199402075610"</f>
        <v>522130199402075610</v>
      </c>
      <c r="F329" s="11" t="str">
        <f>"15186384598"</f>
        <v>15186384598</v>
      </c>
      <c r="G329" s="11" t="str">
        <f>"贵州省仁怀市火石岗镇蔡家湾村光华组039号"</f>
        <v>贵州省仁怀市火石岗镇蔡家湾村光华组039号</v>
      </c>
      <c r="H329" s="11" t="str">
        <f t="shared" si="37"/>
        <v>小学</v>
      </c>
      <c r="I329" s="11" t="str">
        <f t="shared" si="39"/>
        <v>102:语文</v>
      </c>
      <c r="J329" s="11" t="s">
        <v>12</v>
      </c>
      <c r="K329" s="12" t="s">
        <v>38</v>
      </c>
      <c r="L329" s="24" t="s">
        <v>45</v>
      </c>
      <c r="M329" s="21">
        <v>11</v>
      </c>
      <c r="N329" s="20"/>
    </row>
    <row r="330" spans="1:14" s="10" customFormat="1" ht="33" customHeight="1">
      <c r="A330" s="11">
        <v>327</v>
      </c>
      <c r="B330" s="11" t="str">
        <f>"罗如龙"</f>
        <v>罗如龙</v>
      </c>
      <c r="C330" s="11" t="str">
        <f>"男        "</f>
        <v xml:space="preserve">男        </v>
      </c>
      <c r="D330" s="11" t="str">
        <f>"布依族"</f>
        <v>布依族</v>
      </c>
      <c r="E330" s="11" t="str">
        <f>"522327199201020835"</f>
        <v>522327199201020835</v>
      </c>
      <c r="F330" s="11" t="str">
        <f>"15086566058"</f>
        <v>15086566058</v>
      </c>
      <c r="G330" s="11" t="str">
        <f>"贵州省册亨县冗渡镇岜么村岩洞组"</f>
        <v>贵州省册亨县冗渡镇岜么村岩洞组</v>
      </c>
      <c r="H330" s="11" t="str">
        <f t="shared" si="37"/>
        <v>小学</v>
      </c>
      <c r="I330" s="11" t="str">
        <f t="shared" si="39"/>
        <v>102:语文</v>
      </c>
      <c r="J330" s="11" t="s">
        <v>12</v>
      </c>
      <c r="K330" s="12" t="s">
        <v>38</v>
      </c>
      <c r="L330" s="24" t="s">
        <v>45</v>
      </c>
      <c r="M330" s="21">
        <v>12</v>
      </c>
      <c r="N330" s="20"/>
    </row>
    <row r="331" spans="1:14" s="10" customFormat="1" ht="33" customHeight="1">
      <c r="A331" s="11">
        <v>328</v>
      </c>
      <c r="B331" s="11" t="str">
        <f>"曾运海"</f>
        <v>曾运海</v>
      </c>
      <c r="C331" s="11" t="str">
        <f>"男        "</f>
        <v xml:space="preserve">男        </v>
      </c>
      <c r="D331" s="11" t="str">
        <f>"汉族"</f>
        <v>汉族</v>
      </c>
      <c r="E331" s="11" t="str">
        <f>"522322199208040474"</f>
        <v>522322199208040474</v>
      </c>
      <c r="F331" s="11" t="str">
        <f>"18385656075"</f>
        <v>18385656075</v>
      </c>
      <c r="G331" s="11" t="str">
        <f>"贵州省兴仁县巴铃镇向家齐村大塘组"</f>
        <v>贵州省兴仁县巴铃镇向家齐村大塘组</v>
      </c>
      <c r="H331" s="11" t="str">
        <f t="shared" si="37"/>
        <v>小学</v>
      </c>
      <c r="I331" s="11" t="str">
        <f t="shared" si="39"/>
        <v>102:语文</v>
      </c>
      <c r="J331" s="11" t="s">
        <v>12</v>
      </c>
      <c r="K331" s="12" t="s">
        <v>38</v>
      </c>
      <c r="L331" s="24" t="s">
        <v>45</v>
      </c>
      <c r="M331" s="21">
        <v>13</v>
      </c>
      <c r="N331" s="20"/>
    </row>
    <row r="332" spans="1:14" s="10" customFormat="1" ht="33" customHeight="1">
      <c r="A332" s="11">
        <v>329</v>
      </c>
      <c r="B332" s="11" t="str">
        <f>"姜成香"</f>
        <v>姜成香</v>
      </c>
      <c r="C332" s="11" t="str">
        <f>"女        "</f>
        <v xml:space="preserve">女        </v>
      </c>
      <c r="D332" s="11" t="str">
        <f>"苗族"</f>
        <v>苗族</v>
      </c>
      <c r="E332" s="11" t="str">
        <f>"522325199101261647"</f>
        <v>522325199101261647</v>
      </c>
      <c r="F332" s="11" t="str">
        <f>"18375042100"</f>
        <v>18375042100</v>
      </c>
      <c r="G332" s="11" t="str">
        <f>"贵州省贞丰县龙场镇三河村螺丝湾组"</f>
        <v>贵州省贞丰县龙场镇三河村螺丝湾组</v>
      </c>
      <c r="H332" s="11" t="str">
        <f t="shared" si="37"/>
        <v>小学</v>
      </c>
      <c r="I332" s="11" t="str">
        <f t="shared" si="39"/>
        <v>102:语文</v>
      </c>
      <c r="J332" s="11" t="s">
        <v>12</v>
      </c>
      <c r="K332" s="12" t="s">
        <v>38</v>
      </c>
      <c r="L332" s="24" t="s">
        <v>45</v>
      </c>
      <c r="M332" s="21">
        <v>14</v>
      </c>
      <c r="N332" s="20"/>
    </row>
    <row r="333" spans="1:14" s="10" customFormat="1" ht="33" customHeight="1">
      <c r="A333" s="11">
        <v>330</v>
      </c>
      <c r="B333" s="11" t="str">
        <f>"李艳"</f>
        <v>李艳</v>
      </c>
      <c r="C333" s="11" t="str">
        <f>"女        "</f>
        <v xml:space="preserve">女        </v>
      </c>
      <c r="D333" s="11" t="str">
        <f>"汉族"</f>
        <v>汉族</v>
      </c>
      <c r="E333" s="11" t="str">
        <f>"522326199312081642"</f>
        <v>522326199312081642</v>
      </c>
      <c r="F333" s="11" t="str">
        <f>"18744784776"</f>
        <v>18744784776</v>
      </c>
      <c r="G333" s="11" t="str">
        <f>"贵州省望谟县新屯镇利八村五组"</f>
        <v>贵州省望谟县新屯镇利八村五组</v>
      </c>
      <c r="H333" s="11" t="str">
        <f t="shared" si="37"/>
        <v>小学</v>
      </c>
      <c r="I333" s="11" t="str">
        <f t="shared" si="39"/>
        <v>102:语文</v>
      </c>
      <c r="J333" s="11" t="s">
        <v>14</v>
      </c>
      <c r="K333" s="12" t="s">
        <v>38</v>
      </c>
      <c r="L333" s="22">
        <v>89.2</v>
      </c>
      <c r="M333" s="28">
        <v>1</v>
      </c>
      <c r="N333" s="20" t="s">
        <v>46</v>
      </c>
    </row>
    <row r="334" spans="1:14" s="10" customFormat="1" ht="33" customHeight="1">
      <c r="A334" s="11">
        <v>331</v>
      </c>
      <c r="B334" s="11" t="str">
        <f>"李甫林"</f>
        <v>李甫林</v>
      </c>
      <c r="C334" s="11" t="str">
        <f>"男        "</f>
        <v xml:space="preserve">男        </v>
      </c>
      <c r="D334" s="11" t="str">
        <f>"汉族"</f>
        <v>汉族</v>
      </c>
      <c r="E334" s="11" t="str">
        <f>"53032419920907031X"</f>
        <v>53032419920907031X</v>
      </c>
      <c r="F334" s="11" t="str">
        <f>"13769590390"</f>
        <v>13769590390</v>
      </c>
      <c r="G334" s="11" t="str">
        <f>"云南省曲靖市罗平县羊者窝村459号"</f>
        <v>云南省曲靖市罗平县羊者窝村459号</v>
      </c>
      <c r="H334" s="11" t="str">
        <f t="shared" si="37"/>
        <v>小学</v>
      </c>
      <c r="I334" s="11" t="str">
        <f t="shared" si="39"/>
        <v>102:语文</v>
      </c>
      <c r="J334" s="11" t="s">
        <v>14</v>
      </c>
      <c r="K334" s="12" t="s">
        <v>38</v>
      </c>
      <c r="L334" s="22">
        <v>87.66</v>
      </c>
      <c r="M334" s="28">
        <v>2</v>
      </c>
      <c r="N334" s="20" t="s">
        <v>46</v>
      </c>
    </row>
    <row r="335" spans="1:14" s="10" customFormat="1" ht="33" customHeight="1">
      <c r="A335" s="11">
        <v>332</v>
      </c>
      <c r="B335" s="11" t="str">
        <f>"黄玉霞"</f>
        <v>黄玉霞</v>
      </c>
      <c r="C335" s="11" t="str">
        <f>"女        "</f>
        <v xml:space="preserve">女        </v>
      </c>
      <c r="D335" s="11" t="str">
        <f>"彝族"</f>
        <v>彝族</v>
      </c>
      <c r="E335" s="11" t="str">
        <f>"530324199301170524"</f>
        <v>530324199301170524</v>
      </c>
      <c r="F335" s="11" t="str">
        <f>"15198869156"</f>
        <v>15198869156</v>
      </c>
      <c r="G335" s="11" t="str">
        <f>""</f>
        <v/>
      </c>
      <c r="H335" s="11" t="str">
        <f t="shared" si="37"/>
        <v>小学</v>
      </c>
      <c r="I335" s="11" t="str">
        <f t="shared" si="39"/>
        <v>102:语文</v>
      </c>
      <c r="J335" s="11" t="s">
        <v>14</v>
      </c>
      <c r="K335" s="12" t="s">
        <v>38</v>
      </c>
      <c r="L335" s="22">
        <v>86.22</v>
      </c>
      <c r="M335" s="21">
        <v>3</v>
      </c>
      <c r="N335" s="20"/>
    </row>
    <row r="336" spans="1:14" s="10" customFormat="1" ht="33" customHeight="1">
      <c r="A336" s="11">
        <v>333</v>
      </c>
      <c r="B336" s="11" t="str">
        <f>"王美金"</f>
        <v>王美金</v>
      </c>
      <c r="C336" s="11" t="str">
        <f>"女        "</f>
        <v xml:space="preserve">女        </v>
      </c>
      <c r="D336" s="11" t="str">
        <f>"苗族"</f>
        <v>苗族</v>
      </c>
      <c r="E336" s="11" t="str">
        <f>"452631199606183889"</f>
        <v>452631199606183889</v>
      </c>
      <c r="F336" s="11" t="str">
        <f>"15177177864"</f>
        <v>15177177864</v>
      </c>
      <c r="G336" s="11" t="str">
        <f>"广西百色市隆林各族自治县蛇场乡高山村上坝社20号"</f>
        <v>广西百色市隆林各族自治县蛇场乡高山村上坝社20号</v>
      </c>
      <c r="H336" s="11" t="str">
        <f t="shared" si="37"/>
        <v>小学</v>
      </c>
      <c r="I336" s="11" t="str">
        <f t="shared" si="39"/>
        <v>102:语文</v>
      </c>
      <c r="J336" s="11" t="s">
        <v>14</v>
      </c>
      <c r="K336" s="12" t="s">
        <v>38</v>
      </c>
      <c r="L336" s="22">
        <v>85.44</v>
      </c>
      <c r="M336" s="21">
        <v>4</v>
      </c>
      <c r="N336" s="20"/>
    </row>
    <row r="337" spans="1:14" s="10" customFormat="1" ht="33" customHeight="1">
      <c r="A337" s="11">
        <v>334</v>
      </c>
      <c r="B337" s="11" t="str">
        <f>"付廷宽"</f>
        <v>付廷宽</v>
      </c>
      <c r="C337" s="11" t="str">
        <f>"男        "</f>
        <v xml:space="preserve">男        </v>
      </c>
      <c r="D337" s="11" t="str">
        <f>"汉族"</f>
        <v>汉族</v>
      </c>
      <c r="E337" s="11" t="str">
        <f>"522322199311140756"</f>
        <v>522322199311140756</v>
      </c>
      <c r="F337" s="11" t="str">
        <f>"15086555462"</f>
        <v>15086555462</v>
      </c>
      <c r="G337" s="11" t="str">
        <f>"贵州省兴仁县民建乡新房子村南路一组"</f>
        <v>贵州省兴仁县民建乡新房子村南路一组</v>
      </c>
      <c r="H337" s="11" t="str">
        <f t="shared" si="37"/>
        <v>小学</v>
      </c>
      <c r="I337" s="11" t="str">
        <f t="shared" si="39"/>
        <v>102:语文</v>
      </c>
      <c r="J337" s="11" t="s">
        <v>14</v>
      </c>
      <c r="K337" s="12" t="s">
        <v>38</v>
      </c>
      <c r="L337" s="22">
        <v>82.58</v>
      </c>
      <c r="M337" s="21">
        <v>5</v>
      </c>
      <c r="N337" s="20"/>
    </row>
    <row r="338" spans="1:14" s="10" customFormat="1" ht="33" customHeight="1">
      <c r="A338" s="11">
        <v>335</v>
      </c>
      <c r="B338" s="11" t="str">
        <f>"吴贤泽"</f>
        <v>吴贤泽</v>
      </c>
      <c r="C338" s="11" t="str">
        <f>"男        "</f>
        <v xml:space="preserve">男        </v>
      </c>
      <c r="D338" s="11" t="str">
        <f>"汉族"</f>
        <v>汉族</v>
      </c>
      <c r="E338" s="11" t="str">
        <f>"532130198811130913"</f>
        <v>532130198811130913</v>
      </c>
      <c r="F338" s="11" t="str">
        <f>"13649678002"</f>
        <v>13649678002</v>
      </c>
      <c r="G338" s="11" t="str">
        <f>"云南省昭通市威信县高田乡马家弯头村民小组35号"</f>
        <v>云南省昭通市威信县高田乡马家弯头村民小组35号</v>
      </c>
      <c r="H338" s="11" t="str">
        <f t="shared" si="37"/>
        <v>小学</v>
      </c>
      <c r="I338" s="11" t="str">
        <f t="shared" si="39"/>
        <v>102:语文</v>
      </c>
      <c r="J338" s="11" t="s">
        <v>14</v>
      </c>
      <c r="K338" s="12" t="s">
        <v>38</v>
      </c>
      <c r="L338" s="22">
        <v>80.06</v>
      </c>
      <c r="M338" s="21">
        <v>6</v>
      </c>
      <c r="N338" s="20"/>
    </row>
    <row r="339" spans="1:14" s="10" customFormat="1" ht="33" customHeight="1">
      <c r="A339" s="11">
        <v>336</v>
      </c>
      <c r="B339" s="11" t="str">
        <f>"巴晓米"</f>
        <v>巴晓米</v>
      </c>
      <c r="C339" s="11" t="str">
        <f>"女        "</f>
        <v xml:space="preserve">女        </v>
      </c>
      <c r="D339" s="11" t="str">
        <f>"汉族"</f>
        <v>汉族</v>
      </c>
      <c r="E339" s="11" t="str">
        <f>"530324199412022524"</f>
        <v>530324199412022524</v>
      </c>
      <c r="F339" s="11" t="str">
        <f>"17690170054"</f>
        <v>17690170054</v>
      </c>
      <c r="G339" s="11" t="str">
        <f>"云南省曲靖市罗平县长底乡石盆水村委会斗阳村"</f>
        <v>云南省曲靖市罗平县长底乡石盆水村委会斗阳村</v>
      </c>
      <c r="H339" s="11" t="str">
        <f t="shared" ref="H339:H370" si="40">"小学"</f>
        <v>小学</v>
      </c>
      <c r="I339" s="11" t="str">
        <f t="shared" si="39"/>
        <v>102:语文</v>
      </c>
      <c r="J339" s="11" t="s">
        <v>14</v>
      </c>
      <c r="K339" s="12" t="s">
        <v>38</v>
      </c>
      <c r="L339" s="22">
        <v>79.959999999999994</v>
      </c>
      <c r="M339" s="21">
        <v>7</v>
      </c>
      <c r="N339" s="20"/>
    </row>
    <row r="340" spans="1:14" s="10" customFormat="1" ht="33" customHeight="1">
      <c r="A340" s="11">
        <v>337</v>
      </c>
      <c r="B340" s="11" t="str">
        <f>"梁梦洁"</f>
        <v>梁梦洁</v>
      </c>
      <c r="C340" s="11" t="str">
        <f>"女        "</f>
        <v xml:space="preserve">女        </v>
      </c>
      <c r="D340" s="11" t="str">
        <f>"壮族"</f>
        <v>壮族</v>
      </c>
      <c r="E340" s="11" t="str">
        <f>"452631199212064561"</f>
        <v>452631199212064561</v>
      </c>
      <c r="F340" s="11" t="str">
        <f>"15078887545"</f>
        <v>15078887545</v>
      </c>
      <c r="G340" s="11" t="str">
        <f>"广西隆林各族自治县岩茶乡岩茶村桥头四队01号"</f>
        <v>广西隆林各族自治县岩茶乡岩茶村桥头四队01号</v>
      </c>
      <c r="H340" s="11" t="str">
        <f t="shared" si="40"/>
        <v>小学</v>
      </c>
      <c r="I340" s="11" t="str">
        <f t="shared" si="39"/>
        <v>102:语文</v>
      </c>
      <c r="J340" s="11" t="s">
        <v>14</v>
      </c>
      <c r="K340" s="12" t="s">
        <v>38</v>
      </c>
      <c r="L340" s="22">
        <v>79.599999999999994</v>
      </c>
      <c r="M340" s="21">
        <v>8</v>
      </c>
      <c r="N340" s="20"/>
    </row>
    <row r="341" spans="1:14" s="10" customFormat="1" ht="33" customHeight="1">
      <c r="A341" s="11">
        <v>338</v>
      </c>
      <c r="B341" s="11" t="str">
        <f>"李金玉"</f>
        <v>李金玉</v>
      </c>
      <c r="C341" s="11" t="str">
        <f>"女        "</f>
        <v xml:space="preserve">女        </v>
      </c>
      <c r="D341" s="11" t="str">
        <f>"壮族"</f>
        <v>壮族</v>
      </c>
      <c r="E341" s="11" t="str">
        <f>"532627199506033723"</f>
        <v>532627199506033723</v>
      </c>
      <c r="F341" s="11" t="str">
        <f>"15287639039"</f>
        <v>15287639039</v>
      </c>
      <c r="G341" s="11" t="str">
        <f>"云南省文山州广南县底圩乡叮当村委会中里呐小组"</f>
        <v>云南省文山州广南县底圩乡叮当村委会中里呐小组</v>
      </c>
      <c r="H341" s="11" t="str">
        <f t="shared" si="40"/>
        <v>小学</v>
      </c>
      <c r="I341" s="11" t="str">
        <f t="shared" si="39"/>
        <v>102:语文</v>
      </c>
      <c r="J341" s="11" t="s">
        <v>14</v>
      </c>
      <c r="K341" s="12" t="s">
        <v>38</v>
      </c>
      <c r="L341" s="22">
        <v>77.5</v>
      </c>
      <c r="M341" s="21">
        <v>9</v>
      </c>
      <c r="N341" s="20"/>
    </row>
    <row r="342" spans="1:14" s="10" customFormat="1" ht="33" customHeight="1">
      <c r="A342" s="11">
        <v>339</v>
      </c>
      <c r="B342" s="11" t="str">
        <f>"简才英"</f>
        <v>简才英</v>
      </c>
      <c r="C342" s="11" t="str">
        <f>"女        "</f>
        <v xml:space="preserve">女        </v>
      </c>
      <c r="D342" s="11" t="str">
        <f>"侗族"</f>
        <v>侗族</v>
      </c>
      <c r="E342" s="11" t="str">
        <f>"522326199508051648"</f>
        <v>522326199508051648</v>
      </c>
      <c r="F342" s="11" t="str">
        <f>"18285991240"</f>
        <v>18285991240</v>
      </c>
      <c r="G342" s="11" t="str">
        <f>"贵州省望谟县新屯镇竹山村竹山组"</f>
        <v>贵州省望谟县新屯镇竹山村竹山组</v>
      </c>
      <c r="H342" s="11" t="str">
        <f t="shared" si="40"/>
        <v>小学</v>
      </c>
      <c r="I342" s="11" t="str">
        <f t="shared" si="39"/>
        <v>102:语文</v>
      </c>
      <c r="J342" s="11" t="s">
        <v>14</v>
      </c>
      <c r="K342" s="12" t="s">
        <v>38</v>
      </c>
      <c r="L342" s="22">
        <v>77</v>
      </c>
      <c r="M342" s="21">
        <v>10</v>
      </c>
      <c r="N342" s="20"/>
    </row>
    <row r="343" spans="1:14" s="10" customFormat="1" ht="33" customHeight="1">
      <c r="A343" s="11">
        <v>340</v>
      </c>
      <c r="B343" s="11" t="str">
        <f>"喻泽胜"</f>
        <v>喻泽胜</v>
      </c>
      <c r="C343" s="11" t="str">
        <f>"男        "</f>
        <v xml:space="preserve">男        </v>
      </c>
      <c r="D343" s="11" t="str">
        <f>"彝族"</f>
        <v>彝族</v>
      </c>
      <c r="E343" s="11" t="str">
        <f>"522425199411138412"</f>
        <v>522425199411138412</v>
      </c>
      <c r="F343" s="11" t="str">
        <f>"13312294055"</f>
        <v>13312294055</v>
      </c>
      <c r="G343" s="11" t="str">
        <f>"贵州省织金县白泥乡喻家坝村大田组"</f>
        <v>贵州省织金县白泥乡喻家坝村大田组</v>
      </c>
      <c r="H343" s="11" t="str">
        <f t="shared" si="40"/>
        <v>小学</v>
      </c>
      <c r="I343" s="11" t="str">
        <f t="shared" si="39"/>
        <v>102:语文</v>
      </c>
      <c r="J343" s="11" t="s">
        <v>14</v>
      </c>
      <c r="K343" s="12" t="s">
        <v>38</v>
      </c>
      <c r="L343" s="22">
        <v>73.34</v>
      </c>
      <c r="M343" s="21">
        <v>11</v>
      </c>
      <c r="N343" s="20"/>
    </row>
    <row r="344" spans="1:14" s="10" customFormat="1" ht="33" customHeight="1">
      <c r="A344" s="11">
        <v>341</v>
      </c>
      <c r="B344" s="11" t="str">
        <f>"李素丽"</f>
        <v>李素丽</v>
      </c>
      <c r="C344" s="11" t="str">
        <f>"女        "</f>
        <v xml:space="preserve">女        </v>
      </c>
      <c r="D344" s="11" t="str">
        <f>"壮族"</f>
        <v>壮族</v>
      </c>
      <c r="E344" s="11" t="str">
        <f>"452631199407054187"</f>
        <v>452631199407054187</v>
      </c>
      <c r="F344" s="11" t="str">
        <f>"13707766300"</f>
        <v>13707766300</v>
      </c>
      <c r="G344" s="11" t="str">
        <f>"广西百色市隆林各族自治县克长乡海长村一屯"</f>
        <v>广西百色市隆林各族自治县克长乡海长村一屯</v>
      </c>
      <c r="H344" s="11" t="str">
        <f t="shared" si="40"/>
        <v>小学</v>
      </c>
      <c r="I344" s="11" t="str">
        <f t="shared" si="39"/>
        <v>102:语文</v>
      </c>
      <c r="J344" s="11" t="s">
        <v>14</v>
      </c>
      <c r="K344" s="12" t="s">
        <v>38</v>
      </c>
      <c r="L344" s="22">
        <v>71.44</v>
      </c>
      <c r="M344" s="21">
        <v>12</v>
      </c>
      <c r="N344" s="20"/>
    </row>
    <row r="345" spans="1:14" s="10" customFormat="1" ht="33" customHeight="1">
      <c r="A345" s="11">
        <v>342</v>
      </c>
      <c r="B345" s="11" t="str">
        <f>"王明海"</f>
        <v>王明海</v>
      </c>
      <c r="C345" s="11" t="str">
        <f>"男        "</f>
        <v xml:space="preserve">男        </v>
      </c>
      <c r="D345" s="11" t="str">
        <f>"苗族"</f>
        <v>苗族</v>
      </c>
      <c r="E345" s="11" t="str">
        <f>"452631199705212059"</f>
        <v>452631199705212059</v>
      </c>
      <c r="F345" s="11" t="str">
        <f>"18878041567"</f>
        <v>18878041567</v>
      </c>
      <c r="G345" s="11" t="str">
        <f>"广西百色市隆林各族自治县者浪乡么窝村肯么屯007号"</f>
        <v>广西百色市隆林各族自治县者浪乡么窝村肯么屯007号</v>
      </c>
      <c r="H345" s="11" t="str">
        <f t="shared" si="40"/>
        <v>小学</v>
      </c>
      <c r="I345" s="11" t="str">
        <f t="shared" si="39"/>
        <v>102:语文</v>
      </c>
      <c r="J345" s="11" t="s">
        <v>14</v>
      </c>
      <c r="K345" s="12" t="s">
        <v>38</v>
      </c>
      <c r="L345" s="22">
        <v>64.900000000000006</v>
      </c>
      <c r="M345" s="21">
        <v>13</v>
      </c>
      <c r="N345" s="20"/>
    </row>
    <row r="346" spans="1:14" s="10" customFormat="1" ht="33" customHeight="1">
      <c r="A346" s="11">
        <v>343</v>
      </c>
      <c r="B346" s="11" t="str">
        <f>"梁雅姿"</f>
        <v>梁雅姿</v>
      </c>
      <c r="C346" s="11" t="str">
        <f>"女        "</f>
        <v xml:space="preserve">女        </v>
      </c>
      <c r="D346" s="11" t="str">
        <f>"壮族"</f>
        <v>壮族</v>
      </c>
      <c r="E346" s="11" t="str">
        <f>"452631199706184563"</f>
        <v>452631199706184563</v>
      </c>
      <c r="F346" s="11" t="str">
        <f>"15296285268"</f>
        <v>15296285268</v>
      </c>
      <c r="G346" s="11" t="str">
        <f>"广西省隆林县岩茶乡岩茶村2队"</f>
        <v>广西省隆林县岩茶乡岩茶村2队</v>
      </c>
      <c r="H346" s="11" t="str">
        <f t="shared" si="40"/>
        <v>小学</v>
      </c>
      <c r="I346" s="11" t="str">
        <f t="shared" si="39"/>
        <v>102:语文</v>
      </c>
      <c r="J346" s="11" t="s">
        <v>14</v>
      </c>
      <c r="K346" s="12" t="s">
        <v>38</v>
      </c>
      <c r="L346" s="24" t="s">
        <v>45</v>
      </c>
      <c r="M346" s="21">
        <v>14</v>
      </c>
      <c r="N346" s="20"/>
    </row>
    <row r="347" spans="1:14" s="10" customFormat="1" ht="33" customHeight="1">
      <c r="A347" s="11">
        <v>344</v>
      </c>
      <c r="B347" s="11" t="str">
        <f>"王定想"</f>
        <v>王定想</v>
      </c>
      <c r="C347" s="11" t="str">
        <f>"男        "</f>
        <v xml:space="preserve">男        </v>
      </c>
      <c r="D347" s="11" t="str">
        <f>"壮族"</f>
        <v>壮族</v>
      </c>
      <c r="E347" s="11" t="str">
        <f>"452631199211072092"</f>
        <v>452631199211072092</v>
      </c>
      <c r="F347" s="11" t="str">
        <f>"15678970880"</f>
        <v>15678970880</v>
      </c>
      <c r="G347" s="11" t="str">
        <f>"广西省百色市隆林县幸福花园"</f>
        <v>广西省百色市隆林县幸福花园</v>
      </c>
      <c r="H347" s="11" t="str">
        <f t="shared" si="40"/>
        <v>小学</v>
      </c>
      <c r="I347" s="11" t="str">
        <f t="shared" si="39"/>
        <v>102:语文</v>
      </c>
      <c r="J347" s="11" t="s">
        <v>28</v>
      </c>
      <c r="K347" s="11" t="s">
        <v>39</v>
      </c>
      <c r="L347" s="15">
        <v>89.67</v>
      </c>
      <c r="M347" s="28">
        <v>1</v>
      </c>
      <c r="N347" s="20" t="s">
        <v>46</v>
      </c>
    </row>
    <row r="348" spans="1:14" s="10" customFormat="1" ht="33" customHeight="1">
      <c r="A348" s="11">
        <v>345</v>
      </c>
      <c r="B348" s="11" t="str">
        <f>"李关萍"</f>
        <v>李关萍</v>
      </c>
      <c r="C348" s="11" t="str">
        <f t="shared" ref="C348:C356" si="41">"女        "</f>
        <v xml:space="preserve">女        </v>
      </c>
      <c r="D348" s="11" t="str">
        <f>"汉族"</f>
        <v>汉族</v>
      </c>
      <c r="E348" s="11" t="str">
        <f>"53032419991227252X"</f>
        <v>53032419991227252X</v>
      </c>
      <c r="F348" s="11" t="str">
        <f>"15750315909"</f>
        <v>15750315909</v>
      </c>
      <c r="G348" s="11" t="str">
        <f>"云南省曲靖市罗平县长底乡"</f>
        <v>云南省曲靖市罗平县长底乡</v>
      </c>
      <c r="H348" s="11" t="str">
        <f t="shared" si="40"/>
        <v>小学</v>
      </c>
      <c r="I348" s="11" t="str">
        <f t="shared" si="39"/>
        <v>102:语文</v>
      </c>
      <c r="J348" s="11" t="s">
        <v>28</v>
      </c>
      <c r="K348" s="11" t="s">
        <v>39</v>
      </c>
      <c r="L348" s="15">
        <v>88.86</v>
      </c>
      <c r="M348" s="28">
        <v>2</v>
      </c>
      <c r="N348" s="20" t="s">
        <v>46</v>
      </c>
    </row>
    <row r="349" spans="1:14" s="10" customFormat="1" ht="33" customHeight="1">
      <c r="A349" s="11">
        <v>346</v>
      </c>
      <c r="B349" s="11" t="str">
        <f>"赵乙徽"</f>
        <v>赵乙徽</v>
      </c>
      <c r="C349" s="11" t="str">
        <f t="shared" si="41"/>
        <v xml:space="preserve">女        </v>
      </c>
      <c r="D349" s="11" t="str">
        <f>"汉族"</f>
        <v>汉族</v>
      </c>
      <c r="E349" s="11" t="str">
        <f>"452631199409023640"</f>
        <v>452631199409023640</v>
      </c>
      <c r="F349" s="11" t="str">
        <f>"19977697918"</f>
        <v>19977697918</v>
      </c>
      <c r="G349" s="11" t="str">
        <f>""</f>
        <v/>
      </c>
      <c r="H349" s="11" t="str">
        <f t="shared" si="40"/>
        <v>小学</v>
      </c>
      <c r="I349" s="11" t="str">
        <f t="shared" si="39"/>
        <v>102:语文</v>
      </c>
      <c r="J349" s="11" t="s">
        <v>28</v>
      </c>
      <c r="K349" s="11" t="s">
        <v>39</v>
      </c>
      <c r="L349" s="15">
        <v>87.84</v>
      </c>
      <c r="M349" s="21">
        <v>3</v>
      </c>
      <c r="N349" s="20"/>
    </row>
    <row r="350" spans="1:14" s="10" customFormat="1" ht="33" customHeight="1">
      <c r="A350" s="11">
        <v>347</v>
      </c>
      <c r="B350" s="11" t="str">
        <f>"许倩"</f>
        <v>许倩</v>
      </c>
      <c r="C350" s="11" t="str">
        <f t="shared" si="41"/>
        <v xml:space="preserve">女        </v>
      </c>
      <c r="D350" s="11" t="str">
        <f>"汉族"</f>
        <v>汉族</v>
      </c>
      <c r="E350" s="11" t="str">
        <f>"452631199510111004"</f>
        <v>452631199510111004</v>
      </c>
      <c r="F350" s="11" t="str">
        <f>"18107825474"</f>
        <v>18107825474</v>
      </c>
      <c r="G350" s="11" t="str">
        <f>"广西百色隆林各族自治县隆或镇沙保村沙保屯"</f>
        <v>广西百色隆林各族自治县隆或镇沙保村沙保屯</v>
      </c>
      <c r="H350" s="11" t="str">
        <f t="shared" si="40"/>
        <v>小学</v>
      </c>
      <c r="I350" s="11" t="str">
        <f t="shared" si="39"/>
        <v>102:语文</v>
      </c>
      <c r="J350" s="11" t="s">
        <v>28</v>
      </c>
      <c r="K350" s="11" t="s">
        <v>39</v>
      </c>
      <c r="L350" s="15">
        <v>87.76</v>
      </c>
      <c r="M350" s="21">
        <v>4</v>
      </c>
      <c r="N350" s="20"/>
    </row>
    <row r="351" spans="1:14" s="10" customFormat="1" ht="33" customHeight="1">
      <c r="A351" s="11">
        <v>348</v>
      </c>
      <c r="B351" s="11" t="str">
        <f>"赵勤香"</f>
        <v>赵勤香</v>
      </c>
      <c r="C351" s="11" t="str">
        <f t="shared" si="41"/>
        <v xml:space="preserve">女        </v>
      </c>
      <c r="D351" s="11" t="str">
        <f>"壮族"</f>
        <v>壮族</v>
      </c>
      <c r="E351" s="11" t="str">
        <f>"452632198912030428"</f>
        <v>452632198912030428</v>
      </c>
      <c r="F351" s="11" t="str">
        <f>"18778681109"</f>
        <v>18778681109</v>
      </c>
      <c r="G351" s="11" t="str">
        <f>"广西百色市西林县马蚌镇马麻村下寨屯"</f>
        <v>广西百色市西林县马蚌镇马麻村下寨屯</v>
      </c>
      <c r="H351" s="11" t="str">
        <f t="shared" si="40"/>
        <v>小学</v>
      </c>
      <c r="I351" s="11" t="str">
        <f t="shared" ref="I351:I382" si="42">"102:语文"</f>
        <v>102:语文</v>
      </c>
      <c r="J351" s="11" t="s">
        <v>28</v>
      </c>
      <c r="K351" s="11" t="s">
        <v>39</v>
      </c>
      <c r="L351" s="15">
        <v>87.02</v>
      </c>
      <c r="M351" s="21">
        <v>5</v>
      </c>
      <c r="N351" s="20"/>
    </row>
    <row r="352" spans="1:14" s="10" customFormat="1" ht="33" customHeight="1">
      <c r="A352" s="11">
        <v>349</v>
      </c>
      <c r="B352" s="11" t="str">
        <f>"黄丽梅"</f>
        <v>黄丽梅</v>
      </c>
      <c r="C352" s="11" t="str">
        <f t="shared" si="41"/>
        <v xml:space="preserve">女        </v>
      </c>
      <c r="D352" s="11" t="str">
        <f>"壮族"</f>
        <v>壮族</v>
      </c>
      <c r="E352" s="11" t="str">
        <f>"452631199103102303"</f>
        <v>452631199103102303</v>
      </c>
      <c r="F352" s="11" t="str">
        <f>"17777642760"</f>
        <v>17777642760</v>
      </c>
      <c r="G352" s="11" t="str">
        <f>"广西隆林县天生桥镇委果村九腾屯"</f>
        <v>广西隆林县天生桥镇委果村九腾屯</v>
      </c>
      <c r="H352" s="11" t="str">
        <f t="shared" si="40"/>
        <v>小学</v>
      </c>
      <c r="I352" s="11" t="str">
        <f t="shared" si="42"/>
        <v>102:语文</v>
      </c>
      <c r="J352" s="11" t="s">
        <v>28</v>
      </c>
      <c r="K352" s="11" t="s">
        <v>39</v>
      </c>
      <c r="L352" s="15">
        <v>86.88</v>
      </c>
      <c r="M352" s="21">
        <v>6</v>
      </c>
      <c r="N352" s="20"/>
    </row>
    <row r="353" spans="1:14" s="10" customFormat="1" ht="33" customHeight="1">
      <c r="A353" s="11">
        <v>350</v>
      </c>
      <c r="B353" s="11" t="str">
        <f>"冯明星"</f>
        <v>冯明星</v>
      </c>
      <c r="C353" s="11" t="str">
        <f t="shared" si="41"/>
        <v xml:space="preserve">女        </v>
      </c>
      <c r="D353" s="11" t="str">
        <f>"汉族"</f>
        <v>汉族</v>
      </c>
      <c r="E353" s="11" t="str">
        <f>"532225199303161827"</f>
        <v>532225199303161827</v>
      </c>
      <c r="F353" s="11" t="str">
        <f>"15025266782"</f>
        <v>15025266782</v>
      </c>
      <c r="G353" s="11" t="str">
        <f>"云南省文山州广南县珠街镇老卧村"</f>
        <v>云南省文山州广南县珠街镇老卧村</v>
      </c>
      <c r="H353" s="11" t="str">
        <f t="shared" si="40"/>
        <v>小学</v>
      </c>
      <c r="I353" s="11" t="str">
        <f t="shared" si="42"/>
        <v>102:语文</v>
      </c>
      <c r="J353" s="11" t="s">
        <v>28</v>
      </c>
      <c r="K353" s="11" t="s">
        <v>39</v>
      </c>
      <c r="L353" s="15">
        <v>86.26</v>
      </c>
      <c r="M353" s="21">
        <v>7</v>
      </c>
      <c r="N353" s="20"/>
    </row>
    <row r="354" spans="1:14" s="10" customFormat="1" ht="33" customHeight="1">
      <c r="A354" s="11">
        <v>351</v>
      </c>
      <c r="B354" s="11" t="str">
        <f>"字忠慧"</f>
        <v>字忠慧</v>
      </c>
      <c r="C354" s="11" t="str">
        <f t="shared" si="41"/>
        <v xml:space="preserve">女        </v>
      </c>
      <c r="D354" s="11" t="str">
        <f>"彝族"</f>
        <v>彝族</v>
      </c>
      <c r="E354" s="11" t="str">
        <f>"53292619940127132X"</f>
        <v>53292619940127132X</v>
      </c>
      <c r="F354" s="11" t="str">
        <f>"18387389299"</f>
        <v>18387389299</v>
      </c>
      <c r="G354" s="11" t="str">
        <f>"云南省大理白族自治州南涧县公郎镇底么村委会四联村"</f>
        <v>云南省大理白族自治州南涧县公郎镇底么村委会四联村</v>
      </c>
      <c r="H354" s="11" t="str">
        <f t="shared" si="40"/>
        <v>小学</v>
      </c>
      <c r="I354" s="11" t="str">
        <f t="shared" si="42"/>
        <v>102:语文</v>
      </c>
      <c r="J354" s="11" t="s">
        <v>28</v>
      </c>
      <c r="K354" s="11" t="s">
        <v>39</v>
      </c>
      <c r="L354" s="15">
        <v>85.66</v>
      </c>
      <c r="M354" s="21">
        <v>8</v>
      </c>
      <c r="N354" s="20"/>
    </row>
    <row r="355" spans="1:14" s="10" customFormat="1" ht="33" customHeight="1">
      <c r="A355" s="11">
        <v>352</v>
      </c>
      <c r="B355" s="11" t="str">
        <f>"崔艳"</f>
        <v>崔艳</v>
      </c>
      <c r="C355" s="11" t="str">
        <f t="shared" si="41"/>
        <v xml:space="preserve">女        </v>
      </c>
      <c r="D355" s="11" t="str">
        <f>"汉族"</f>
        <v>汉族</v>
      </c>
      <c r="E355" s="11" t="str">
        <f>"522322199405105628"</f>
        <v>522322199405105628</v>
      </c>
      <c r="F355" s="11" t="str">
        <f>"15186442291"</f>
        <v>15186442291</v>
      </c>
      <c r="G355" s="11" t="str">
        <f>"贵州省兴仁县新龙场镇"</f>
        <v>贵州省兴仁县新龙场镇</v>
      </c>
      <c r="H355" s="11" t="str">
        <f t="shared" si="40"/>
        <v>小学</v>
      </c>
      <c r="I355" s="11" t="str">
        <f t="shared" si="42"/>
        <v>102:语文</v>
      </c>
      <c r="J355" s="11" t="s">
        <v>28</v>
      </c>
      <c r="K355" s="11" t="s">
        <v>39</v>
      </c>
      <c r="L355" s="15">
        <v>85.56</v>
      </c>
      <c r="M355" s="21">
        <v>9</v>
      </c>
      <c r="N355" s="20"/>
    </row>
    <row r="356" spans="1:14" s="10" customFormat="1" ht="33" customHeight="1">
      <c r="A356" s="11">
        <v>353</v>
      </c>
      <c r="B356" s="11" t="str">
        <f>"王丽丽"</f>
        <v>王丽丽</v>
      </c>
      <c r="C356" s="11" t="str">
        <f t="shared" si="41"/>
        <v xml:space="preserve">女        </v>
      </c>
      <c r="D356" s="11" t="str">
        <f>"苗族"</f>
        <v>苗族</v>
      </c>
      <c r="E356" s="11" t="str">
        <f>"452631199504213784"</f>
        <v>452631199504213784</v>
      </c>
      <c r="F356" s="11" t="str">
        <f>"15307760731"</f>
        <v>15307760731</v>
      </c>
      <c r="G356" s="11" t="str">
        <f>"广西隆林各族自治县猪场乡那伟村龙保山屯11号"</f>
        <v>广西隆林各族自治县猪场乡那伟村龙保山屯11号</v>
      </c>
      <c r="H356" s="11" t="str">
        <f t="shared" si="40"/>
        <v>小学</v>
      </c>
      <c r="I356" s="11" t="str">
        <f t="shared" si="42"/>
        <v>102:语文</v>
      </c>
      <c r="J356" s="11" t="s">
        <v>28</v>
      </c>
      <c r="K356" s="11" t="s">
        <v>39</v>
      </c>
      <c r="L356" s="15">
        <v>85.44</v>
      </c>
      <c r="M356" s="21">
        <v>10</v>
      </c>
      <c r="N356" s="20"/>
    </row>
    <row r="357" spans="1:14" s="10" customFormat="1" ht="33" customHeight="1">
      <c r="A357" s="11">
        <v>354</v>
      </c>
      <c r="B357" s="11" t="str">
        <f>"王志明"</f>
        <v>王志明</v>
      </c>
      <c r="C357" s="11" t="str">
        <f>"男        "</f>
        <v xml:space="preserve">男        </v>
      </c>
      <c r="D357" s="11" t="str">
        <f>"苗族"</f>
        <v>苗族</v>
      </c>
      <c r="E357" s="11" t="str">
        <f>"452631199203223639"</f>
        <v>452631199203223639</v>
      </c>
      <c r="F357" s="11" t="str">
        <f>"18589953092"</f>
        <v>18589953092</v>
      </c>
      <c r="G357" s="11" t="str">
        <f>"广西百色市隆林县猪场乡猪场村仁盘屯29号"</f>
        <v>广西百色市隆林县猪场乡猪场村仁盘屯29号</v>
      </c>
      <c r="H357" s="11" t="str">
        <f t="shared" si="40"/>
        <v>小学</v>
      </c>
      <c r="I357" s="11" t="str">
        <f t="shared" si="42"/>
        <v>102:语文</v>
      </c>
      <c r="J357" s="11" t="s">
        <v>28</v>
      </c>
      <c r="K357" s="11" t="s">
        <v>39</v>
      </c>
      <c r="L357" s="15">
        <v>85.32</v>
      </c>
      <c r="M357" s="21">
        <v>11</v>
      </c>
      <c r="N357" s="20"/>
    </row>
    <row r="358" spans="1:14" s="10" customFormat="1" ht="33" customHeight="1">
      <c r="A358" s="11">
        <v>355</v>
      </c>
      <c r="B358" s="11" t="str">
        <f>"王亚巧"</f>
        <v>王亚巧</v>
      </c>
      <c r="C358" s="11" t="str">
        <f>"女        "</f>
        <v xml:space="preserve">女        </v>
      </c>
      <c r="D358" s="11" t="str">
        <f>"壮族"</f>
        <v>壮族</v>
      </c>
      <c r="E358" s="11" t="str">
        <f>"452631199712052305"</f>
        <v>452631199712052305</v>
      </c>
      <c r="F358" s="11" t="str">
        <f>"18278670370"</f>
        <v>18278670370</v>
      </c>
      <c r="G358" s="11" t="str">
        <f>"广西隆林各族自治县天生桥镇祥播村三社010号"</f>
        <v>广西隆林各族自治县天生桥镇祥播村三社010号</v>
      </c>
      <c r="H358" s="11" t="str">
        <f t="shared" si="40"/>
        <v>小学</v>
      </c>
      <c r="I358" s="11" t="str">
        <f t="shared" si="42"/>
        <v>102:语文</v>
      </c>
      <c r="J358" s="11" t="s">
        <v>28</v>
      </c>
      <c r="K358" s="11" t="s">
        <v>39</v>
      </c>
      <c r="L358" s="15">
        <v>84.98</v>
      </c>
      <c r="M358" s="21">
        <v>12</v>
      </c>
      <c r="N358" s="20"/>
    </row>
    <row r="359" spans="1:14" s="10" customFormat="1" ht="33" customHeight="1">
      <c r="A359" s="11">
        <v>356</v>
      </c>
      <c r="B359" s="11" t="str">
        <f>"唐银昌"</f>
        <v>唐银昌</v>
      </c>
      <c r="C359" s="11" t="str">
        <f>"男        "</f>
        <v xml:space="preserve">男        </v>
      </c>
      <c r="D359" s="11" t="str">
        <f>"汉族"</f>
        <v>汉族</v>
      </c>
      <c r="E359" s="11" t="str">
        <f>"522326199209091615"</f>
        <v>522326199209091615</v>
      </c>
      <c r="F359" s="11" t="str">
        <f>"18208623720"</f>
        <v>18208623720</v>
      </c>
      <c r="G359" s="11" t="str">
        <f>"贵州省望谟县新屯镇唐家坪村绞啥组21号"</f>
        <v>贵州省望谟县新屯镇唐家坪村绞啥组21号</v>
      </c>
      <c r="H359" s="11" t="str">
        <f t="shared" si="40"/>
        <v>小学</v>
      </c>
      <c r="I359" s="11" t="str">
        <f t="shared" si="42"/>
        <v>102:语文</v>
      </c>
      <c r="J359" s="11" t="s">
        <v>28</v>
      </c>
      <c r="K359" s="11" t="s">
        <v>39</v>
      </c>
      <c r="L359" s="15">
        <v>84</v>
      </c>
      <c r="M359" s="21">
        <v>13</v>
      </c>
      <c r="N359" s="20"/>
    </row>
    <row r="360" spans="1:14" s="10" customFormat="1" ht="33" customHeight="1">
      <c r="A360" s="11">
        <v>357</v>
      </c>
      <c r="B360" s="11" t="str">
        <f>"杨刚"</f>
        <v>杨刚</v>
      </c>
      <c r="C360" s="11" t="str">
        <f>"男        "</f>
        <v xml:space="preserve">男        </v>
      </c>
      <c r="D360" s="11" t="str">
        <f>"汉族"</f>
        <v>汉族</v>
      </c>
      <c r="E360" s="11" t="str">
        <f>"522326199302103211"</f>
        <v>522326199302103211</v>
      </c>
      <c r="F360" s="11" t="str">
        <f>"18216633763"</f>
        <v>18216633763</v>
      </c>
      <c r="G360" s="11" t="str">
        <f>"贵州省望谟县麻山乡岜丛村岜丛组"</f>
        <v>贵州省望谟县麻山乡岜丛村岜丛组</v>
      </c>
      <c r="H360" s="11" t="str">
        <f t="shared" si="40"/>
        <v>小学</v>
      </c>
      <c r="I360" s="11" t="str">
        <f t="shared" si="42"/>
        <v>102:语文</v>
      </c>
      <c r="J360" s="11" t="s">
        <v>28</v>
      </c>
      <c r="K360" s="11" t="s">
        <v>39</v>
      </c>
      <c r="L360" s="15">
        <v>83.98</v>
      </c>
      <c r="M360" s="21">
        <v>14</v>
      </c>
      <c r="N360" s="20"/>
    </row>
    <row r="361" spans="1:14" s="10" customFormat="1" ht="33" customHeight="1">
      <c r="A361" s="11">
        <v>358</v>
      </c>
      <c r="B361" s="11" t="str">
        <f>"刘恩丙"</f>
        <v>刘恩丙</v>
      </c>
      <c r="C361" s="11" t="str">
        <f>"男        "</f>
        <v xml:space="preserve">男        </v>
      </c>
      <c r="D361" s="11" t="str">
        <f>"汉族"</f>
        <v>汉族</v>
      </c>
      <c r="E361" s="11" t="str">
        <f>"530381199207203518"</f>
        <v>530381199207203518</v>
      </c>
      <c r="F361" s="11" t="str">
        <f>"18388361310"</f>
        <v>18388361310</v>
      </c>
      <c r="G361" s="11" t="str">
        <f>"云南省宣威市双河乡大桥村木戛村委会"</f>
        <v>云南省宣威市双河乡大桥村木戛村委会</v>
      </c>
      <c r="H361" s="11" t="str">
        <f t="shared" si="40"/>
        <v>小学</v>
      </c>
      <c r="I361" s="11" t="str">
        <f t="shared" si="42"/>
        <v>102:语文</v>
      </c>
      <c r="J361" s="11" t="s">
        <v>28</v>
      </c>
      <c r="K361" s="11" t="s">
        <v>39</v>
      </c>
      <c r="L361" s="15">
        <v>83.46</v>
      </c>
      <c r="M361" s="21">
        <v>15</v>
      </c>
      <c r="N361" s="20"/>
    </row>
    <row r="362" spans="1:14" s="10" customFormat="1" ht="33" customHeight="1">
      <c r="A362" s="11">
        <v>359</v>
      </c>
      <c r="B362" s="11" t="str">
        <f>"崔从花"</f>
        <v>崔从花</v>
      </c>
      <c r="C362" s="11" t="str">
        <f t="shared" ref="C362:C367" si="43">"女        "</f>
        <v xml:space="preserve">女        </v>
      </c>
      <c r="D362" s="11" t="str">
        <f>"汉族"</f>
        <v>汉族</v>
      </c>
      <c r="E362" s="11" t="str">
        <f>"530328199506130927"</f>
        <v>530328199506130927</v>
      </c>
      <c r="F362" s="11" t="str">
        <f>"16675539945"</f>
        <v>16675539945</v>
      </c>
      <c r="G362" s="11" t="str">
        <f>""</f>
        <v/>
      </c>
      <c r="H362" s="11" t="str">
        <f t="shared" si="40"/>
        <v>小学</v>
      </c>
      <c r="I362" s="11" t="str">
        <f t="shared" si="42"/>
        <v>102:语文</v>
      </c>
      <c r="J362" s="11" t="s">
        <v>28</v>
      </c>
      <c r="K362" s="11" t="s">
        <v>39</v>
      </c>
      <c r="L362" s="15">
        <v>83.44</v>
      </c>
      <c r="M362" s="21">
        <v>16</v>
      </c>
      <c r="N362" s="20"/>
    </row>
    <row r="363" spans="1:14" s="10" customFormat="1" ht="33" customHeight="1">
      <c r="A363" s="11">
        <v>360</v>
      </c>
      <c r="B363" s="11" t="str">
        <f>"王庭芮"</f>
        <v>王庭芮</v>
      </c>
      <c r="C363" s="11" t="str">
        <f t="shared" si="43"/>
        <v xml:space="preserve">女        </v>
      </c>
      <c r="D363" s="11" t="str">
        <f>"壮族"</f>
        <v>壮族</v>
      </c>
      <c r="E363" s="11" t="str">
        <f>"452631199608040048"</f>
        <v>452631199608040048</v>
      </c>
      <c r="F363" s="11" t="str">
        <f>"18278690668"</f>
        <v>18278690668</v>
      </c>
      <c r="G363" s="11" t="str">
        <f>"广西百色市隆林各族自治县新州镇民生社区民生街236号"</f>
        <v>广西百色市隆林各族自治县新州镇民生社区民生街236号</v>
      </c>
      <c r="H363" s="11" t="str">
        <f t="shared" si="40"/>
        <v>小学</v>
      </c>
      <c r="I363" s="11" t="str">
        <f t="shared" si="42"/>
        <v>102:语文</v>
      </c>
      <c r="J363" s="11" t="s">
        <v>28</v>
      </c>
      <c r="K363" s="11" t="s">
        <v>39</v>
      </c>
      <c r="L363" s="15">
        <v>82.46</v>
      </c>
      <c r="M363" s="21">
        <v>17</v>
      </c>
      <c r="N363" s="20"/>
    </row>
    <row r="364" spans="1:14" s="10" customFormat="1" ht="33" customHeight="1">
      <c r="A364" s="11">
        <v>361</v>
      </c>
      <c r="B364" s="11" t="str">
        <f>"王封梅"</f>
        <v>王封梅</v>
      </c>
      <c r="C364" s="11" t="str">
        <f t="shared" si="43"/>
        <v xml:space="preserve">女        </v>
      </c>
      <c r="D364" s="11" t="str">
        <f>"布依族"</f>
        <v>布依族</v>
      </c>
      <c r="E364" s="11" t="str">
        <f>"522326199310129825"</f>
        <v>522326199310129825</v>
      </c>
      <c r="F364" s="11" t="str">
        <f>"18788787176"</f>
        <v>18788787176</v>
      </c>
      <c r="G364" s="11" t="str">
        <f>"贵州省望谟县新屯镇纳包村一组"</f>
        <v>贵州省望谟县新屯镇纳包村一组</v>
      </c>
      <c r="H364" s="11" t="str">
        <f t="shared" si="40"/>
        <v>小学</v>
      </c>
      <c r="I364" s="11" t="str">
        <f t="shared" si="42"/>
        <v>102:语文</v>
      </c>
      <c r="J364" s="11" t="s">
        <v>28</v>
      </c>
      <c r="K364" s="11" t="s">
        <v>39</v>
      </c>
      <c r="L364" s="15">
        <v>80.3</v>
      </c>
      <c r="M364" s="21">
        <v>18</v>
      </c>
      <c r="N364" s="20"/>
    </row>
    <row r="365" spans="1:14" s="10" customFormat="1" ht="33" customHeight="1">
      <c r="A365" s="11">
        <v>362</v>
      </c>
      <c r="B365" s="11" t="str">
        <f>"王玉香"</f>
        <v>王玉香</v>
      </c>
      <c r="C365" s="11" t="str">
        <f t="shared" si="43"/>
        <v xml:space="preserve">女        </v>
      </c>
      <c r="D365" s="11" t="str">
        <f>"汉族"</f>
        <v>汉族</v>
      </c>
      <c r="E365" s="11" t="str">
        <f>"530324199608291128"</f>
        <v>530324199608291128</v>
      </c>
      <c r="F365" s="11" t="str">
        <f>"15924974752"</f>
        <v>15924974752</v>
      </c>
      <c r="G365" s="11" t="str">
        <f>"云南省曲靖市罗平县钟山乡细戈村委会窑口子村"</f>
        <v>云南省曲靖市罗平县钟山乡细戈村委会窑口子村</v>
      </c>
      <c r="H365" s="11" t="str">
        <f t="shared" si="40"/>
        <v>小学</v>
      </c>
      <c r="I365" s="11" t="str">
        <f t="shared" si="42"/>
        <v>102:语文</v>
      </c>
      <c r="J365" s="11" t="s">
        <v>28</v>
      </c>
      <c r="K365" s="11" t="s">
        <v>39</v>
      </c>
      <c r="L365" s="15">
        <v>78.540000000000006</v>
      </c>
      <c r="M365" s="21">
        <v>19</v>
      </c>
      <c r="N365" s="20"/>
    </row>
    <row r="366" spans="1:14" s="10" customFormat="1" ht="33" customHeight="1">
      <c r="A366" s="11">
        <v>363</v>
      </c>
      <c r="B366" s="11" t="str">
        <f>"欧阳慧"</f>
        <v>欧阳慧</v>
      </c>
      <c r="C366" s="11" t="str">
        <f t="shared" si="43"/>
        <v xml:space="preserve">女        </v>
      </c>
      <c r="D366" s="11" t="str">
        <f>"壮族"</f>
        <v>壮族</v>
      </c>
      <c r="E366" s="11" t="str">
        <f>"45263119961207366X"</f>
        <v>45263119961207366X</v>
      </c>
      <c r="F366" s="11" t="str">
        <f>"15289508955"</f>
        <v>15289508955</v>
      </c>
      <c r="G366" s="11" t="str">
        <f>"广西隆林各族自治县猪场乡那伟村那伟社91号"</f>
        <v>广西隆林各族自治县猪场乡那伟村那伟社91号</v>
      </c>
      <c r="H366" s="11" t="str">
        <f t="shared" si="40"/>
        <v>小学</v>
      </c>
      <c r="I366" s="11" t="str">
        <f t="shared" si="42"/>
        <v>102:语文</v>
      </c>
      <c r="J366" s="11" t="s">
        <v>28</v>
      </c>
      <c r="K366" s="11" t="s">
        <v>39</v>
      </c>
      <c r="L366" s="15">
        <v>78.400000000000006</v>
      </c>
      <c r="M366" s="21">
        <v>20</v>
      </c>
      <c r="N366" s="20"/>
    </row>
    <row r="367" spans="1:14" s="10" customFormat="1" ht="33" customHeight="1">
      <c r="A367" s="11">
        <v>364</v>
      </c>
      <c r="B367" s="11" t="str">
        <f>"何秋杉"</f>
        <v>何秋杉</v>
      </c>
      <c r="C367" s="11" t="str">
        <f t="shared" si="43"/>
        <v xml:space="preserve">女        </v>
      </c>
      <c r="D367" s="11" t="str">
        <f>"壮族"</f>
        <v>壮族</v>
      </c>
      <c r="E367" s="11" t="str">
        <f>"452632199511092227"</f>
        <v>452632199511092227</v>
      </c>
      <c r="F367" s="11" t="str">
        <f>"13481600039"</f>
        <v>13481600039</v>
      </c>
      <c r="G367" s="11" t="str">
        <f>"广西西林县那佐苗族乡弄合村081号"</f>
        <v>广西西林县那佐苗族乡弄合村081号</v>
      </c>
      <c r="H367" s="11" t="str">
        <f t="shared" si="40"/>
        <v>小学</v>
      </c>
      <c r="I367" s="11" t="str">
        <f t="shared" si="42"/>
        <v>102:语文</v>
      </c>
      <c r="J367" s="11" t="s">
        <v>28</v>
      </c>
      <c r="K367" s="11" t="s">
        <v>39</v>
      </c>
      <c r="L367" s="15">
        <v>78.12</v>
      </c>
      <c r="M367" s="21">
        <v>21</v>
      </c>
      <c r="N367" s="20"/>
    </row>
    <row r="368" spans="1:14" s="10" customFormat="1" ht="33" customHeight="1">
      <c r="A368" s="11">
        <v>365</v>
      </c>
      <c r="B368" s="11" t="str">
        <f>"朱海"</f>
        <v>朱海</v>
      </c>
      <c r="C368" s="11" t="str">
        <f>"男        "</f>
        <v xml:space="preserve">男        </v>
      </c>
      <c r="D368" s="11" t="str">
        <f>"汉族"</f>
        <v>汉族</v>
      </c>
      <c r="E368" s="11" t="str">
        <f>"522322199205162310"</f>
        <v>522322199205162310</v>
      </c>
      <c r="F368" s="11" t="str">
        <f>"17716606224"</f>
        <v>17716606224</v>
      </c>
      <c r="G368" s="11" t="str">
        <f>"贵州省兴仁县下山镇三角山村三角山一组"</f>
        <v>贵州省兴仁县下山镇三角山村三角山一组</v>
      </c>
      <c r="H368" s="11" t="str">
        <f t="shared" si="40"/>
        <v>小学</v>
      </c>
      <c r="I368" s="11" t="str">
        <f t="shared" si="42"/>
        <v>102:语文</v>
      </c>
      <c r="J368" s="11" t="s">
        <v>28</v>
      </c>
      <c r="K368" s="11" t="s">
        <v>39</v>
      </c>
      <c r="L368" s="15">
        <v>76.56</v>
      </c>
      <c r="M368" s="21">
        <v>22</v>
      </c>
      <c r="N368" s="20"/>
    </row>
    <row r="369" spans="1:14" s="10" customFormat="1" ht="33" customHeight="1">
      <c r="A369" s="11">
        <v>366</v>
      </c>
      <c r="B369" s="11" t="str">
        <f>"农芳丽"</f>
        <v>农芳丽</v>
      </c>
      <c r="C369" s="11" t="str">
        <f t="shared" ref="C369:C374" si="44">"女        "</f>
        <v xml:space="preserve">女        </v>
      </c>
      <c r="D369" s="11" t="str">
        <f>"壮族"</f>
        <v>壮族</v>
      </c>
      <c r="E369" s="11" t="str">
        <f>"452632199406070026"</f>
        <v>452632199406070026</v>
      </c>
      <c r="F369" s="11" t="str">
        <f>"15296219049"</f>
        <v>15296219049</v>
      </c>
      <c r="G369" s="11" t="str">
        <f>"广西西林县八达镇那卡村平那屯009号"</f>
        <v>广西西林县八达镇那卡村平那屯009号</v>
      </c>
      <c r="H369" s="11" t="str">
        <f t="shared" si="40"/>
        <v>小学</v>
      </c>
      <c r="I369" s="11" t="str">
        <f t="shared" si="42"/>
        <v>102:语文</v>
      </c>
      <c r="J369" s="11" t="s">
        <v>28</v>
      </c>
      <c r="K369" s="11" t="s">
        <v>39</v>
      </c>
      <c r="L369" s="15">
        <v>74.78</v>
      </c>
      <c r="M369" s="21">
        <v>23</v>
      </c>
      <c r="N369" s="20"/>
    </row>
    <row r="370" spans="1:14" s="10" customFormat="1" ht="33" customHeight="1">
      <c r="A370" s="11">
        <v>367</v>
      </c>
      <c r="B370" s="11" t="str">
        <f>"罗顺毫"</f>
        <v>罗顺毫</v>
      </c>
      <c r="C370" s="11" t="str">
        <f t="shared" si="44"/>
        <v xml:space="preserve">女        </v>
      </c>
      <c r="D370" s="11" t="str">
        <f>"布依族"</f>
        <v>布依族</v>
      </c>
      <c r="E370" s="11" t="str">
        <f>"52232619950921324X"</f>
        <v>52232619950921324X</v>
      </c>
      <c r="F370" s="11" t="str">
        <f>"18798201006"</f>
        <v>18798201006</v>
      </c>
      <c r="G370" s="11" t="str">
        <f>"贵州省望谟县油迈乡巧路村打上组"</f>
        <v>贵州省望谟县油迈乡巧路村打上组</v>
      </c>
      <c r="H370" s="11" t="str">
        <f t="shared" si="40"/>
        <v>小学</v>
      </c>
      <c r="I370" s="11" t="str">
        <f t="shared" si="42"/>
        <v>102:语文</v>
      </c>
      <c r="J370" s="11" t="s">
        <v>28</v>
      </c>
      <c r="K370" s="11" t="s">
        <v>39</v>
      </c>
      <c r="L370" s="15">
        <v>71.72</v>
      </c>
      <c r="M370" s="21">
        <v>24</v>
      </c>
      <c r="N370" s="20"/>
    </row>
    <row r="371" spans="1:14" s="10" customFormat="1" ht="33" customHeight="1">
      <c r="A371" s="11">
        <v>368</v>
      </c>
      <c r="B371" s="11" t="str">
        <f>"梁楠"</f>
        <v>梁楠</v>
      </c>
      <c r="C371" s="11" t="str">
        <f t="shared" si="44"/>
        <v xml:space="preserve">女        </v>
      </c>
      <c r="D371" s="11" t="str">
        <f>"壮族"</f>
        <v>壮族</v>
      </c>
      <c r="E371" s="11" t="str">
        <f>"452631199107290145"</f>
        <v>452631199107290145</v>
      </c>
      <c r="F371" s="11" t="str">
        <f>"18977699161"</f>
        <v>18977699161</v>
      </c>
      <c r="G371" s="11" t="str">
        <f>"隆林各族自治县新交警队旁"</f>
        <v>隆林各族自治县新交警队旁</v>
      </c>
      <c r="H371" s="11" t="str">
        <f t="shared" ref="H371:H402" si="45">"小学"</f>
        <v>小学</v>
      </c>
      <c r="I371" s="11" t="str">
        <f t="shared" si="42"/>
        <v>102:语文</v>
      </c>
      <c r="J371" s="11" t="s">
        <v>28</v>
      </c>
      <c r="K371" s="11" t="s">
        <v>39</v>
      </c>
      <c r="L371" s="15">
        <v>71.62</v>
      </c>
      <c r="M371" s="21">
        <v>25</v>
      </c>
      <c r="N371" s="20"/>
    </row>
    <row r="372" spans="1:14" s="10" customFormat="1" ht="33" customHeight="1">
      <c r="A372" s="11">
        <v>369</v>
      </c>
      <c r="B372" s="11" t="str">
        <f>"黄家敏"</f>
        <v>黄家敏</v>
      </c>
      <c r="C372" s="11" t="str">
        <f t="shared" si="44"/>
        <v xml:space="preserve">女        </v>
      </c>
      <c r="D372" s="11" t="str">
        <f>"布依族"</f>
        <v>布依族</v>
      </c>
      <c r="E372" s="11" t="str">
        <f>"522326199301202023"</f>
        <v>522326199301202023</v>
      </c>
      <c r="F372" s="11" t="str">
        <f>"15117392265"</f>
        <v>15117392265</v>
      </c>
      <c r="G372" s="11" t="str">
        <f>"贵州省望谟县大观乡上伏开村三组"</f>
        <v>贵州省望谟县大观乡上伏开村三组</v>
      </c>
      <c r="H372" s="11" t="str">
        <f t="shared" si="45"/>
        <v>小学</v>
      </c>
      <c r="I372" s="11" t="str">
        <f t="shared" si="42"/>
        <v>102:语文</v>
      </c>
      <c r="J372" s="11" t="s">
        <v>28</v>
      </c>
      <c r="K372" s="11" t="s">
        <v>39</v>
      </c>
      <c r="L372" s="15">
        <v>67.459999999999994</v>
      </c>
      <c r="M372" s="21">
        <v>26</v>
      </c>
      <c r="N372" s="20"/>
    </row>
    <row r="373" spans="1:14" s="10" customFormat="1" ht="33" customHeight="1">
      <c r="A373" s="11">
        <v>370</v>
      </c>
      <c r="B373" s="11" t="str">
        <f>"蒲永莉"</f>
        <v>蒲永莉</v>
      </c>
      <c r="C373" s="11" t="str">
        <f t="shared" si="44"/>
        <v xml:space="preserve">女        </v>
      </c>
      <c r="D373" s="11" t="str">
        <f>"汉族"</f>
        <v>汉族</v>
      </c>
      <c r="E373" s="11" t="str">
        <f>"452631199706242305"</f>
        <v>452631199706242305</v>
      </c>
      <c r="F373" s="11" t="str">
        <f>"18376716370"</f>
        <v>18376716370</v>
      </c>
      <c r="G373" s="11" t="str">
        <f>"广西省百色市隆林县聚宝家园"</f>
        <v>广西省百色市隆林县聚宝家园</v>
      </c>
      <c r="H373" s="11" t="str">
        <f t="shared" si="45"/>
        <v>小学</v>
      </c>
      <c r="I373" s="11" t="str">
        <f t="shared" si="42"/>
        <v>102:语文</v>
      </c>
      <c r="J373" s="11" t="s">
        <v>28</v>
      </c>
      <c r="K373" s="11" t="s">
        <v>39</v>
      </c>
      <c r="L373" s="23" t="s">
        <v>45</v>
      </c>
      <c r="M373" s="21">
        <v>27</v>
      </c>
      <c r="N373" s="20"/>
    </row>
    <row r="374" spans="1:14" s="10" customFormat="1" ht="33" customHeight="1">
      <c r="A374" s="11">
        <v>371</v>
      </c>
      <c r="B374" s="11" t="str">
        <f>"谢媛婷"</f>
        <v>谢媛婷</v>
      </c>
      <c r="C374" s="11" t="str">
        <f t="shared" si="44"/>
        <v xml:space="preserve">女        </v>
      </c>
      <c r="D374" s="11" t="str">
        <f>"汉族"</f>
        <v>汉族</v>
      </c>
      <c r="E374" s="11" t="str">
        <f>"530322199410141041"</f>
        <v>530322199410141041</v>
      </c>
      <c r="F374" s="11" t="str">
        <f>"18387420972"</f>
        <v>18387420972</v>
      </c>
      <c r="G374" s="11" t="str">
        <f>"云南省曲靖市陆良县三岔河镇大坝村121号"</f>
        <v>云南省曲靖市陆良县三岔河镇大坝村121号</v>
      </c>
      <c r="H374" s="11" t="str">
        <f t="shared" si="45"/>
        <v>小学</v>
      </c>
      <c r="I374" s="11" t="str">
        <f t="shared" si="42"/>
        <v>102:语文</v>
      </c>
      <c r="J374" s="11" t="s">
        <v>28</v>
      </c>
      <c r="K374" s="11" t="s">
        <v>39</v>
      </c>
      <c r="L374" s="23" t="s">
        <v>45</v>
      </c>
      <c r="M374" s="21">
        <v>28</v>
      </c>
      <c r="N374" s="20"/>
    </row>
    <row r="375" spans="1:14" s="10" customFormat="1" ht="33" customHeight="1">
      <c r="A375" s="11">
        <v>372</v>
      </c>
      <c r="B375" s="11" t="str">
        <f>"车华培"</f>
        <v>车华培</v>
      </c>
      <c r="C375" s="11" t="str">
        <f>"男        "</f>
        <v xml:space="preserve">男        </v>
      </c>
      <c r="D375" s="11" t="str">
        <f>"汉族"</f>
        <v>汉族</v>
      </c>
      <c r="E375" s="11" t="str">
        <f>"530326198912014211"</f>
        <v>530326198912014211</v>
      </c>
      <c r="F375" s="11" t="str">
        <f>"15126955510"</f>
        <v>15126955510</v>
      </c>
      <c r="G375" s="11" t="str">
        <f>"云南砚山县八嘎乡"</f>
        <v>云南砚山县八嘎乡</v>
      </c>
      <c r="H375" s="11" t="str">
        <f t="shared" si="45"/>
        <v>小学</v>
      </c>
      <c r="I375" s="11" t="str">
        <f t="shared" si="42"/>
        <v>102:语文</v>
      </c>
      <c r="J375" s="11" t="s">
        <v>27</v>
      </c>
      <c r="K375" s="11" t="s">
        <v>40</v>
      </c>
      <c r="L375" s="15">
        <v>87.4</v>
      </c>
      <c r="M375" s="27">
        <v>1</v>
      </c>
      <c r="N375" s="20" t="s">
        <v>46</v>
      </c>
    </row>
    <row r="376" spans="1:14" s="10" customFormat="1" ht="33" customHeight="1">
      <c r="A376" s="11">
        <v>373</v>
      </c>
      <c r="B376" s="11" t="str">
        <f>"吕娜"</f>
        <v>吕娜</v>
      </c>
      <c r="C376" s="11" t="str">
        <f>"女        "</f>
        <v xml:space="preserve">女        </v>
      </c>
      <c r="D376" s="11" t="str">
        <f>"汉族"</f>
        <v>汉族</v>
      </c>
      <c r="E376" s="11" t="str">
        <f>"530302199407242102"</f>
        <v>530302199407242102</v>
      </c>
      <c r="F376" s="11" t="str">
        <f>"15987406844"</f>
        <v>15987406844</v>
      </c>
      <c r="G376" s="11" t="str">
        <f>"云南省曲靖市麒麟区珠街乡青龙上村"</f>
        <v>云南省曲靖市麒麟区珠街乡青龙上村</v>
      </c>
      <c r="H376" s="11" t="str">
        <f t="shared" si="45"/>
        <v>小学</v>
      </c>
      <c r="I376" s="11" t="str">
        <f t="shared" si="42"/>
        <v>102:语文</v>
      </c>
      <c r="J376" s="11" t="s">
        <v>27</v>
      </c>
      <c r="K376" s="11" t="s">
        <v>40</v>
      </c>
      <c r="L376" s="15">
        <v>86.2</v>
      </c>
      <c r="M376" s="27">
        <v>2</v>
      </c>
      <c r="N376" s="20" t="s">
        <v>46</v>
      </c>
    </row>
    <row r="377" spans="1:14" s="10" customFormat="1" ht="33" customHeight="1">
      <c r="A377" s="11">
        <v>374</v>
      </c>
      <c r="B377" s="11" t="str">
        <f>"杨翔"</f>
        <v>杨翔</v>
      </c>
      <c r="C377" s="11" t="str">
        <f>"男        "</f>
        <v xml:space="preserve">男        </v>
      </c>
      <c r="D377" s="11" t="str">
        <f>"苗族"</f>
        <v>苗族</v>
      </c>
      <c r="E377" s="11" t="str">
        <f>"452631199512013395"</f>
        <v>452631199512013395</v>
      </c>
      <c r="F377" s="11" t="str">
        <f>"18587455016"</f>
        <v>18587455016</v>
      </c>
      <c r="G377" s="11" t="str">
        <f>"广西百色隆林县德峨乡常么村坡脚屯"</f>
        <v>广西百色隆林县德峨乡常么村坡脚屯</v>
      </c>
      <c r="H377" s="11" t="str">
        <f t="shared" si="45"/>
        <v>小学</v>
      </c>
      <c r="I377" s="11" t="str">
        <f t="shared" si="42"/>
        <v>102:语文</v>
      </c>
      <c r="J377" s="11" t="s">
        <v>27</v>
      </c>
      <c r="K377" s="11" t="s">
        <v>40</v>
      </c>
      <c r="L377" s="15">
        <v>85.8</v>
      </c>
      <c r="M377" s="11">
        <v>3</v>
      </c>
      <c r="N377" s="20"/>
    </row>
    <row r="378" spans="1:14" s="10" customFormat="1" ht="33" customHeight="1">
      <c r="A378" s="11">
        <v>375</v>
      </c>
      <c r="B378" s="11" t="str">
        <f>"李祥"</f>
        <v>李祥</v>
      </c>
      <c r="C378" s="11" t="str">
        <f>"男        "</f>
        <v xml:space="preserve">男        </v>
      </c>
      <c r="D378" s="11" t="str">
        <f>"汉族"</f>
        <v>汉族</v>
      </c>
      <c r="E378" s="11" t="str">
        <f>"530325199203111332"</f>
        <v>530325199203111332</v>
      </c>
      <c r="F378" s="11" t="str">
        <f>"15187896769"</f>
        <v>15187896769</v>
      </c>
      <c r="G378" s="11" t="str">
        <f>"云南省曲靖市富源县富村镇块择村委会下尖山村"</f>
        <v>云南省曲靖市富源县富村镇块择村委会下尖山村</v>
      </c>
      <c r="H378" s="11" t="str">
        <f t="shared" si="45"/>
        <v>小学</v>
      </c>
      <c r="I378" s="11" t="str">
        <f t="shared" si="42"/>
        <v>102:语文</v>
      </c>
      <c r="J378" s="11" t="s">
        <v>27</v>
      </c>
      <c r="K378" s="11" t="s">
        <v>40</v>
      </c>
      <c r="L378" s="15">
        <v>85.4</v>
      </c>
      <c r="M378" s="11">
        <v>4</v>
      </c>
      <c r="N378" s="20"/>
    </row>
    <row r="379" spans="1:14" s="10" customFormat="1" ht="33" customHeight="1">
      <c r="A379" s="11">
        <v>376</v>
      </c>
      <c r="B379" s="11" t="str">
        <f>"卢烨璇"</f>
        <v>卢烨璇</v>
      </c>
      <c r="C379" s="11" t="str">
        <f>"女        "</f>
        <v xml:space="preserve">女        </v>
      </c>
      <c r="D379" s="11" t="str">
        <f>"汉族"</f>
        <v>汉族</v>
      </c>
      <c r="E379" s="11" t="str">
        <f>"45263119940102100X"</f>
        <v>45263119940102100X</v>
      </c>
      <c r="F379" s="11" t="str">
        <f>"15676129989"</f>
        <v>15676129989</v>
      </c>
      <c r="G379" s="11" t="str">
        <f>"广西百色市隆林各族自治县隆或镇伟岭村大田屯"</f>
        <v>广西百色市隆林各族自治县隆或镇伟岭村大田屯</v>
      </c>
      <c r="H379" s="11" t="str">
        <f t="shared" si="45"/>
        <v>小学</v>
      </c>
      <c r="I379" s="11" t="str">
        <f t="shared" si="42"/>
        <v>102:语文</v>
      </c>
      <c r="J379" s="11" t="s">
        <v>27</v>
      </c>
      <c r="K379" s="11" t="s">
        <v>40</v>
      </c>
      <c r="L379" s="15">
        <v>85.2</v>
      </c>
      <c r="M379" s="11">
        <v>5</v>
      </c>
      <c r="N379" s="20"/>
    </row>
    <row r="380" spans="1:14" s="10" customFormat="1" ht="33" customHeight="1">
      <c r="A380" s="11">
        <v>377</v>
      </c>
      <c r="B380" s="11" t="str">
        <f>"陈丽"</f>
        <v>陈丽</v>
      </c>
      <c r="C380" s="11" t="str">
        <f>"女        "</f>
        <v xml:space="preserve">女        </v>
      </c>
      <c r="D380" s="11" t="str">
        <f>"汉族"</f>
        <v>汉族</v>
      </c>
      <c r="E380" s="11" t="str">
        <f>"52232219941120004X"</f>
        <v>52232219941120004X</v>
      </c>
      <c r="F380" s="11" t="str">
        <f>"18375098312"</f>
        <v>18375098312</v>
      </c>
      <c r="G380" s="11" t="str">
        <f>"贵州省黔西南布依族苗族自治州兴仁县东湖社区科教路"</f>
        <v>贵州省黔西南布依族苗族自治州兴仁县东湖社区科教路</v>
      </c>
      <c r="H380" s="11" t="str">
        <f t="shared" si="45"/>
        <v>小学</v>
      </c>
      <c r="I380" s="11" t="str">
        <f t="shared" si="42"/>
        <v>102:语文</v>
      </c>
      <c r="J380" s="11" t="s">
        <v>27</v>
      </c>
      <c r="K380" s="11" t="s">
        <v>40</v>
      </c>
      <c r="L380" s="15">
        <v>85</v>
      </c>
      <c r="M380" s="11">
        <v>6</v>
      </c>
      <c r="N380" s="20"/>
    </row>
    <row r="381" spans="1:14" s="10" customFormat="1" ht="33" customHeight="1">
      <c r="A381" s="11">
        <v>378</v>
      </c>
      <c r="B381" s="11" t="str">
        <f>"李先虎"</f>
        <v>李先虎</v>
      </c>
      <c r="C381" s="11" t="str">
        <f>"男        "</f>
        <v xml:space="preserve">男        </v>
      </c>
      <c r="D381" s="11" t="str">
        <f>"苗族"</f>
        <v>苗族</v>
      </c>
      <c r="E381" s="11" t="str">
        <f>"522426199010093619"</f>
        <v>522426199010093619</v>
      </c>
      <c r="F381" s="11" t="str">
        <f>"15186091982"</f>
        <v>15186091982</v>
      </c>
      <c r="G381" s="11" t="str">
        <f>"贵州省纳雍县昆寨乡大寨村下寨组"</f>
        <v>贵州省纳雍县昆寨乡大寨村下寨组</v>
      </c>
      <c r="H381" s="11" t="str">
        <f t="shared" si="45"/>
        <v>小学</v>
      </c>
      <c r="I381" s="11" t="str">
        <f t="shared" si="42"/>
        <v>102:语文</v>
      </c>
      <c r="J381" s="11" t="s">
        <v>27</v>
      </c>
      <c r="K381" s="11" t="s">
        <v>40</v>
      </c>
      <c r="L381" s="15">
        <v>84</v>
      </c>
      <c r="M381" s="11">
        <v>7</v>
      </c>
      <c r="N381" s="20"/>
    </row>
    <row r="382" spans="1:14" s="10" customFormat="1" ht="33" customHeight="1">
      <c r="A382" s="11">
        <v>379</v>
      </c>
      <c r="B382" s="11" t="str">
        <f>"黎喜美"</f>
        <v>黎喜美</v>
      </c>
      <c r="C382" s="11" t="str">
        <f>"女        "</f>
        <v xml:space="preserve">女        </v>
      </c>
      <c r="D382" s="11" t="str">
        <f>"布依族"</f>
        <v>布依族</v>
      </c>
      <c r="E382" s="11" t="str">
        <f>"522326199407131622"</f>
        <v>522326199407131622</v>
      </c>
      <c r="F382" s="11" t="str">
        <f>"18212152013"</f>
        <v>18212152013</v>
      </c>
      <c r="G382" s="11" t="str">
        <f>"贵州省望谟县新屯镇纳包村打便组"</f>
        <v>贵州省望谟县新屯镇纳包村打便组</v>
      </c>
      <c r="H382" s="11" t="str">
        <f t="shared" si="45"/>
        <v>小学</v>
      </c>
      <c r="I382" s="11" t="str">
        <f t="shared" si="42"/>
        <v>102:语文</v>
      </c>
      <c r="J382" s="11" t="s">
        <v>27</v>
      </c>
      <c r="K382" s="11" t="s">
        <v>40</v>
      </c>
      <c r="L382" s="15">
        <v>83.2</v>
      </c>
      <c r="M382" s="11">
        <v>8</v>
      </c>
      <c r="N382" s="20"/>
    </row>
    <row r="383" spans="1:14" s="10" customFormat="1" ht="33" customHeight="1">
      <c r="A383" s="11">
        <v>380</v>
      </c>
      <c r="B383" s="11" t="str">
        <f>"罗善祥"</f>
        <v>罗善祥</v>
      </c>
      <c r="C383" s="11" t="str">
        <f>"男        "</f>
        <v xml:space="preserve">男        </v>
      </c>
      <c r="D383" s="11" t="str">
        <f>"壮族"</f>
        <v>壮族</v>
      </c>
      <c r="E383" s="11" t="str">
        <f>"452631199412190511"</f>
        <v>452631199412190511</v>
      </c>
      <c r="F383" s="11" t="str">
        <f>"15777616453"</f>
        <v>15777616453</v>
      </c>
      <c r="G383" s="11" t="str">
        <f>"广西隆林各族自治县沙梨乡委尧村岩蚌屯18号"</f>
        <v>广西隆林各族自治县沙梨乡委尧村岩蚌屯18号</v>
      </c>
      <c r="H383" s="11" t="str">
        <f t="shared" si="45"/>
        <v>小学</v>
      </c>
      <c r="I383" s="11" t="str">
        <f t="shared" ref="I383:I414" si="46">"102:语文"</f>
        <v>102:语文</v>
      </c>
      <c r="J383" s="11" t="s">
        <v>27</v>
      </c>
      <c r="K383" s="11" t="s">
        <v>40</v>
      </c>
      <c r="L383" s="15">
        <v>83.2</v>
      </c>
      <c r="M383" s="11">
        <v>9</v>
      </c>
      <c r="N383" s="20"/>
    </row>
    <row r="384" spans="1:14" s="10" customFormat="1" ht="33" customHeight="1">
      <c r="A384" s="11">
        <v>381</v>
      </c>
      <c r="B384" s="11" t="str">
        <f>"李芮芮"</f>
        <v>李芮芮</v>
      </c>
      <c r="C384" s="11" t="str">
        <f>"男        "</f>
        <v xml:space="preserve">男        </v>
      </c>
      <c r="D384" s="11" t="str">
        <f>"回族"</f>
        <v>回族</v>
      </c>
      <c r="E384" s="11" t="str">
        <f>"522427198908092016"</f>
        <v>522427198908092016</v>
      </c>
      <c r="F384" s="11" t="str">
        <f>"15186585686"</f>
        <v>15186585686</v>
      </c>
      <c r="G384" s="11" t="str">
        <f>""</f>
        <v/>
      </c>
      <c r="H384" s="11" t="str">
        <f t="shared" si="45"/>
        <v>小学</v>
      </c>
      <c r="I384" s="11" t="str">
        <f t="shared" si="46"/>
        <v>102:语文</v>
      </c>
      <c r="J384" s="11" t="s">
        <v>27</v>
      </c>
      <c r="K384" s="11" t="s">
        <v>40</v>
      </c>
      <c r="L384" s="15">
        <v>82.4</v>
      </c>
      <c r="M384" s="11">
        <v>10</v>
      </c>
      <c r="N384" s="20"/>
    </row>
    <row r="385" spans="1:14" s="10" customFormat="1" ht="33" customHeight="1">
      <c r="A385" s="11">
        <v>382</v>
      </c>
      <c r="B385" s="11" t="str">
        <f>"邓燕"</f>
        <v>邓燕</v>
      </c>
      <c r="C385" s="11" t="str">
        <f>"女        "</f>
        <v xml:space="preserve">女        </v>
      </c>
      <c r="D385" s="11" t="str">
        <f>"汉族"</f>
        <v>汉族</v>
      </c>
      <c r="E385" s="11" t="str">
        <f>"53222519970712132X"</f>
        <v>53222519970712132X</v>
      </c>
      <c r="F385" s="11" t="str">
        <f>"15911995829"</f>
        <v>15911995829</v>
      </c>
      <c r="G385" s="11" t="str">
        <f>"云南省曲靖市富源县富村镇祖德村委会大对门村18号"</f>
        <v>云南省曲靖市富源县富村镇祖德村委会大对门村18号</v>
      </c>
      <c r="H385" s="11" t="str">
        <f t="shared" si="45"/>
        <v>小学</v>
      </c>
      <c r="I385" s="11" t="str">
        <f t="shared" si="46"/>
        <v>102:语文</v>
      </c>
      <c r="J385" s="11" t="s">
        <v>27</v>
      </c>
      <c r="K385" s="11" t="s">
        <v>40</v>
      </c>
      <c r="L385" s="15">
        <v>81.8</v>
      </c>
      <c r="M385" s="11">
        <v>11</v>
      </c>
      <c r="N385" s="20"/>
    </row>
    <row r="386" spans="1:14" s="10" customFormat="1" ht="33" customHeight="1">
      <c r="A386" s="11">
        <v>383</v>
      </c>
      <c r="B386" s="11" t="str">
        <f>"苏学友"</f>
        <v>苏学友</v>
      </c>
      <c r="C386" s="11" t="str">
        <f>"男        "</f>
        <v xml:space="preserve">男        </v>
      </c>
      <c r="D386" s="11" t="str">
        <f>"汉族"</f>
        <v>汉族</v>
      </c>
      <c r="E386" s="11" t="str">
        <f>"530324199011271933"</f>
        <v>530324199011271933</v>
      </c>
      <c r="F386" s="11" t="str">
        <f>"15752100192"</f>
        <v>15752100192</v>
      </c>
      <c r="G386" s="11" t="str">
        <f>"云南省曲靖市罗平县老厂乡马米村"</f>
        <v>云南省曲靖市罗平县老厂乡马米村</v>
      </c>
      <c r="H386" s="11" t="str">
        <f t="shared" si="45"/>
        <v>小学</v>
      </c>
      <c r="I386" s="11" t="str">
        <f t="shared" si="46"/>
        <v>102:语文</v>
      </c>
      <c r="J386" s="11" t="s">
        <v>27</v>
      </c>
      <c r="K386" s="11" t="s">
        <v>40</v>
      </c>
      <c r="L386" s="15">
        <v>81</v>
      </c>
      <c r="M386" s="11">
        <v>12</v>
      </c>
      <c r="N386" s="20"/>
    </row>
    <row r="387" spans="1:14" s="10" customFormat="1" ht="33" customHeight="1">
      <c r="A387" s="11">
        <v>384</v>
      </c>
      <c r="B387" s="11" t="str">
        <f>"杨小妹"</f>
        <v>杨小妹</v>
      </c>
      <c r="C387" s="11" t="str">
        <f>"女        "</f>
        <v xml:space="preserve">女        </v>
      </c>
      <c r="D387" s="11" t="str">
        <f>"苗族"</f>
        <v>苗族</v>
      </c>
      <c r="E387" s="11" t="str">
        <f>"452631199504123383"</f>
        <v>452631199504123383</v>
      </c>
      <c r="F387" s="11" t="str">
        <f>"15778080936"</f>
        <v>15778080936</v>
      </c>
      <c r="G387" s="11" t="str">
        <f>"广西百色市隆林县德峨镇常么村龙那屯19号"</f>
        <v>广西百色市隆林县德峨镇常么村龙那屯19号</v>
      </c>
      <c r="H387" s="11" t="str">
        <f t="shared" si="45"/>
        <v>小学</v>
      </c>
      <c r="I387" s="11" t="str">
        <f t="shared" si="46"/>
        <v>102:语文</v>
      </c>
      <c r="J387" s="11" t="s">
        <v>27</v>
      </c>
      <c r="K387" s="11" t="s">
        <v>40</v>
      </c>
      <c r="L387" s="15">
        <v>78.8</v>
      </c>
      <c r="M387" s="11">
        <v>13</v>
      </c>
      <c r="N387" s="20"/>
    </row>
    <row r="388" spans="1:14" s="10" customFormat="1" ht="33" customHeight="1">
      <c r="A388" s="11">
        <v>385</v>
      </c>
      <c r="B388" s="11" t="str">
        <f>"段雪娟"</f>
        <v>段雪娟</v>
      </c>
      <c r="C388" s="11" t="str">
        <f>"女        "</f>
        <v xml:space="preserve">女        </v>
      </c>
      <c r="D388" s="11" t="str">
        <f>"汉族"</f>
        <v>汉族</v>
      </c>
      <c r="E388" s="11" t="str">
        <f>"530322199508201102"</f>
        <v>530322199508201102</v>
      </c>
      <c r="F388" s="11" t="str">
        <f>"18896348135"</f>
        <v>18896348135</v>
      </c>
      <c r="G388" s="11" t="str">
        <f>"云南省曲靖市陆良县三岔河镇刘良村委会小垢甸村60号"</f>
        <v>云南省曲靖市陆良县三岔河镇刘良村委会小垢甸村60号</v>
      </c>
      <c r="H388" s="11" t="str">
        <f t="shared" si="45"/>
        <v>小学</v>
      </c>
      <c r="I388" s="11" t="str">
        <f t="shared" si="46"/>
        <v>102:语文</v>
      </c>
      <c r="J388" s="11" t="s">
        <v>27</v>
      </c>
      <c r="K388" s="11" t="s">
        <v>40</v>
      </c>
      <c r="L388" s="15">
        <v>77.2</v>
      </c>
      <c r="M388" s="11">
        <v>14</v>
      </c>
      <c r="N388" s="20"/>
    </row>
    <row r="389" spans="1:14" s="10" customFormat="1" ht="33" customHeight="1">
      <c r="A389" s="11">
        <v>386</v>
      </c>
      <c r="B389" s="11" t="str">
        <f>"黄庭凤"</f>
        <v>黄庭凤</v>
      </c>
      <c r="C389" s="11" t="str">
        <f>"女        "</f>
        <v xml:space="preserve">女        </v>
      </c>
      <c r="D389" s="11" t="str">
        <f>"布依族"</f>
        <v>布依族</v>
      </c>
      <c r="E389" s="11" t="str">
        <f>"522326199512102225"</f>
        <v>522326199512102225</v>
      </c>
      <c r="F389" s="11" t="str">
        <f>"18722834770"</f>
        <v>18722834770</v>
      </c>
      <c r="G389" s="11" t="str">
        <f>"贵州省望谟县油迈乡打寒村一组"</f>
        <v>贵州省望谟县油迈乡打寒村一组</v>
      </c>
      <c r="H389" s="11" t="str">
        <f t="shared" si="45"/>
        <v>小学</v>
      </c>
      <c r="I389" s="11" t="str">
        <f t="shared" si="46"/>
        <v>102:语文</v>
      </c>
      <c r="J389" s="11" t="s">
        <v>27</v>
      </c>
      <c r="K389" s="11" t="s">
        <v>40</v>
      </c>
      <c r="L389" s="15">
        <v>70.2</v>
      </c>
      <c r="M389" s="11">
        <v>15</v>
      </c>
      <c r="N389" s="20"/>
    </row>
    <row r="390" spans="1:14" s="10" customFormat="1" ht="33" customHeight="1">
      <c r="A390" s="11">
        <v>387</v>
      </c>
      <c r="B390" s="11" t="str">
        <f>"罗青云"</f>
        <v>罗青云</v>
      </c>
      <c r="C390" s="11" t="str">
        <f>"女        "</f>
        <v xml:space="preserve">女        </v>
      </c>
      <c r="D390" s="11" t="str">
        <f>"汉族"</f>
        <v>汉族</v>
      </c>
      <c r="E390" s="11" t="str">
        <f>"530325198810161361"</f>
        <v>530325198810161361</v>
      </c>
      <c r="F390" s="11" t="str">
        <f>"15187850016"</f>
        <v>15187850016</v>
      </c>
      <c r="G390" s="11" t="str">
        <f>"云南省曲靖市富源县富村镇白石岩村委会大寨子村"</f>
        <v>云南省曲靖市富源县富村镇白石岩村委会大寨子村</v>
      </c>
      <c r="H390" s="11" t="str">
        <f t="shared" si="45"/>
        <v>小学</v>
      </c>
      <c r="I390" s="11" t="str">
        <f t="shared" si="46"/>
        <v>102:语文</v>
      </c>
      <c r="J390" s="11" t="s">
        <v>27</v>
      </c>
      <c r="K390" s="11" t="s">
        <v>40</v>
      </c>
      <c r="L390" s="15">
        <v>69.400000000000006</v>
      </c>
      <c r="M390" s="11">
        <v>16</v>
      </c>
      <c r="N390" s="20"/>
    </row>
    <row r="391" spans="1:14" s="10" customFormat="1" ht="33" customHeight="1">
      <c r="A391" s="11">
        <v>388</v>
      </c>
      <c r="B391" s="11" t="str">
        <f>"杨丽芳"</f>
        <v>杨丽芳</v>
      </c>
      <c r="C391" s="11" t="str">
        <f>"女        "</f>
        <v xml:space="preserve">女        </v>
      </c>
      <c r="D391" s="11" t="str">
        <f>"彝族"</f>
        <v>彝族</v>
      </c>
      <c r="E391" s="11" t="str">
        <f>"532502199506012428"</f>
        <v>532502199506012428</v>
      </c>
      <c r="F391" s="11" t="str">
        <f>"15287634613"</f>
        <v>15287634613</v>
      </c>
      <c r="G391" s="11" t="str">
        <f>"云南省红河州开远市碑格乡奋途村23号"</f>
        <v>云南省红河州开远市碑格乡奋途村23号</v>
      </c>
      <c r="H391" s="11" t="str">
        <f t="shared" si="45"/>
        <v>小学</v>
      </c>
      <c r="I391" s="11" t="str">
        <f t="shared" si="46"/>
        <v>102:语文</v>
      </c>
      <c r="J391" s="11" t="s">
        <v>27</v>
      </c>
      <c r="K391" s="11" t="s">
        <v>40</v>
      </c>
      <c r="L391" s="23" t="s">
        <v>45</v>
      </c>
      <c r="M391" s="11">
        <v>17</v>
      </c>
      <c r="N391" s="20"/>
    </row>
    <row r="392" spans="1:14" s="10" customFormat="1" ht="33" customHeight="1">
      <c r="A392" s="11">
        <v>389</v>
      </c>
      <c r="B392" s="11" t="str">
        <f>"黄详"</f>
        <v>黄详</v>
      </c>
      <c r="C392" s="11" t="str">
        <f>"男        "</f>
        <v xml:space="preserve">男        </v>
      </c>
      <c r="D392" s="11" t="str">
        <f>"汉族"</f>
        <v>汉族</v>
      </c>
      <c r="E392" s="11" t="str">
        <f>"522428199507183073"</f>
        <v>522428199507183073</v>
      </c>
      <c r="F392" s="11" t="str">
        <f>"17678944468"</f>
        <v>17678944468</v>
      </c>
      <c r="G392" s="11" t="str">
        <f>"贵州省赫章县辅处乡葛布村双河组"</f>
        <v>贵州省赫章县辅处乡葛布村双河组</v>
      </c>
      <c r="H392" s="11" t="str">
        <f t="shared" si="45"/>
        <v>小学</v>
      </c>
      <c r="I392" s="11" t="str">
        <f t="shared" si="46"/>
        <v>102:语文</v>
      </c>
      <c r="J392" s="11" t="s">
        <v>27</v>
      </c>
      <c r="K392" s="11" t="s">
        <v>40</v>
      </c>
      <c r="L392" s="23" t="s">
        <v>45</v>
      </c>
      <c r="M392" s="11">
        <v>18</v>
      </c>
      <c r="N392" s="20"/>
    </row>
    <row r="393" spans="1:14" s="10" customFormat="1" ht="33" customHeight="1">
      <c r="A393" s="11">
        <v>390</v>
      </c>
      <c r="B393" s="11" t="str">
        <f>"张美旭"</f>
        <v>张美旭</v>
      </c>
      <c r="C393" s="11" t="str">
        <f>"男        "</f>
        <v xml:space="preserve">男        </v>
      </c>
      <c r="D393" s="11" t="str">
        <f>"汉族"</f>
        <v>汉族</v>
      </c>
      <c r="E393" s="11" t="str">
        <f>"510322199109028134"</f>
        <v>510322199109028134</v>
      </c>
      <c r="F393" s="11" t="str">
        <f>"15117382672"</f>
        <v>15117382672</v>
      </c>
      <c r="G393" s="11" t="str">
        <f>"贵州省兴义市"</f>
        <v>贵州省兴义市</v>
      </c>
      <c r="H393" s="11" t="str">
        <f t="shared" si="45"/>
        <v>小学</v>
      </c>
      <c r="I393" s="11" t="str">
        <f t="shared" si="46"/>
        <v>102:语文</v>
      </c>
      <c r="J393" s="11" t="s">
        <v>27</v>
      </c>
      <c r="K393" s="11" t="s">
        <v>40</v>
      </c>
      <c r="L393" s="23" t="s">
        <v>45</v>
      </c>
      <c r="M393" s="11">
        <v>19</v>
      </c>
      <c r="N393" s="20"/>
    </row>
    <row r="394" spans="1:14" s="10" customFormat="1" ht="33" customHeight="1">
      <c r="A394" s="11">
        <v>391</v>
      </c>
      <c r="B394" s="11" t="str">
        <f>"黄永娟"</f>
        <v>黄永娟</v>
      </c>
      <c r="C394" s="11" t="str">
        <f t="shared" ref="C394:C400" si="47">"女        "</f>
        <v xml:space="preserve">女        </v>
      </c>
      <c r="D394" s="11" t="str">
        <f>"布依族"</f>
        <v>布依族</v>
      </c>
      <c r="E394" s="11" t="str">
        <f>"522327199301141829"</f>
        <v>522327199301141829</v>
      </c>
      <c r="F394" s="11" t="str">
        <f>"15086547589"</f>
        <v>15086547589</v>
      </c>
      <c r="G394" s="11" t="str">
        <f>"贵州省册亨县八渡镇伟主村伟主组50"</f>
        <v>贵州省册亨县八渡镇伟主村伟主组50</v>
      </c>
      <c r="H394" s="11" t="str">
        <f t="shared" si="45"/>
        <v>小学</v>
      </c>
      <c r="I394" s="11" t="str">
        <f t="shared" si="46"/>
        <v>102:语文</v>
      </c>
      <c r="J394" s="11" t="s">
        <v>27</v>
      </c>
      <c r="K394" s="11" t="s">
        <v>40</v>
      </c>
      <c r="L394" s="23" t="s">
        <v>45</v>
      </c>
      <c r="M394" s="11">
        <v>20</v>
      </c>
      <c r="N394" s="20"/>
    </row>
    <row r="395" spans="1:14" s="10" customFormat="1" ht="33" customHeight="1">
      <c r="A395" s="11">
        <v>392</v>
      </c>
      <c r="B395" s="11" t="str">
        <f>"余胜雪"</f>
        <v>余胜雪</v>
      </c>
      <c r="C395" s="11" t="str">
        <f t="shared" si="47"/>
        <v xml:space="preserve">女        </v>
      </c>
      <c r="D395" s="11" t="str">
        <f>"汉族"</f>
        <v>汉族</v>
      </c>
      <c r="E395" s="11" t="str">
        <f>"530324199303101928"</f>
        <v>530324199303101928</v>
      </c>
      <c r="F395" s="11" t="str">
        <f>"18487218240"</f>
        <v>18487218240</v>
      </c>
      <c r="G395" s="11" t="str">
        <f>"云南省曲靖市罗平县南门前21号"</f>
        <v>云南省曲靖市罗平县南门前21号</v>
      </c>
      <c r="H395" s="11" t="str">
        <f t="shared" si="45"/>
        <v>小学</v>
      </c>
      <c r="I395" s="11" t="str">
        <f t="shared" si="46"/>
        <v>102:语文</v>
      </c>
      <c r="J395" s="11" t="s">
        <v>11</v>
      </c>
      <c r="K395" s="11" t="s">
        <v>41</v>
      </c>
      <c r="L395" s="15">
        <v>87.6</v>
      </c>
      <c r="M395" s="27">
        <v>1</v>
      </c>
      <c r="N395" s="20" t="s">
        <v>46</v>
      </c>
    </row>
    <row r="396" spans="1:14" s="10" customFormat="1" ht="33" customHeight="1">
      <c r="A396" s="11">
        <v>393</v>
      </c>
      <c r="B396" s="11" t="str">
        <f>"陆莉"</f>
        <v>陆莉</v>
      </c>
      <c r="C396" s="11" t="str">
        <f t="shared" si="47"/>
        <v xml:space="preserve">女        </v>
      </c>
      <c r="D396" s="11" t="str">
        <f>"壮族"</f>
        <v>壮族</v>
      </c>
      <c r="E396" s="11" t="str">
        <f>"452631199603300066"</f>
        <v>452631199603300066</v>
      </c>
      <c r="F396" s="11" t="str">
        <f>"18260865542"</f>
        <v>18260865542</v>
      </c>
      <c r="G396" s="11" t="str">
        <f>"广西隆林各族自治县新州镇民族社区民族路292号"</f>
        <v>广西隆林各族自治县新州镇民族社区民族路292号</v>
      </c>
      <c r="H396" s="11" t="str">
        <f t="shared" si="45"/>
        <v>小学</v>
      </c>
      <c r="I396" s="11" t="str">
        <f t="shared" si="46"/>
        <v>102:语文</v>
      </c>
      <c r="J396" s="11" t="s">
        <v>11</v>
      </c>
      <c r="K396" s="11" t="s">
        <v>41</v>
      </c>
      <c r="L396" s="15">
        <v>87.6</v>
      </c>
      <c r="M396" s="27">
        <v>2</v>
      </c>
      <c r="N396" s="20" t="s">
        <v>46</v>
      </c>
    </row>
    <row r="397" spans="1:14" s="10" customFormat="1" ht="33" customHeight="1">
      <c r="A397" s="11">
        <v>394</v>
      </c>
      <c r="B397" s="11" t="str">
        <f>"李春"</f>
        <v>李春</v>
      </c>
      <c r="C397" s="11" t="str">
        <f t="shared" si="47"/>
        <v xml:space="preserve">女        </v>
      </c>
      <c r="D397" s="11" t="str">
        <f>"苗族"</f>
        <v>苗族</v>
      </c>
      <c r="E397" s="11" t="str">
        <f>"452631199502143161"</f>
        <v>452631199502143161</v>
      </c>
      <c r="F397" s="11" t="str">
        <f>"17777647167"</f>
        <v>17777647167</v>
      </c>
      <c r="G397" s="11" t="str">
        <f>"广西百色市隆林各族自治县德峨镇夏家湾村马河屯"</f>
        <v>广西百色市隆林各族自治县德峨镇夏家湾村马河屯</v>
      </c>
      <c r="H397" s="11" t="str">
        <f t="shared" si="45"/>
        <v>小学</v>
      </c>
      <c r="I397" s="11" t="str">
        <f t="shared" si="46"/>
        <v>102:语文</v>
      </c>
      <c r="J397" s="11" t="s">
        <v>11</v>
      </c>
      <c r="K397" s="11" t="s">
        <v>41</v>
      </c>
      <c r="L397" s="15">
        <v>86.92</v>
      </c>
      <c r="M397" s="11">
        <v>3</v>
      </c>
      <c r="N397" s="20"/>
    </row>
    <row r="398" spans="1:14" s="10" customFormat="1" ht="33" customHeight="1">
      <c r="A398" s="11">
        <v>395</v>
      </c>
      <c r="B398" s="11" t="str">
        <f>"李汉楠"</f>
        <v>李汉楠</v>
      </c>
      <c r="C398" s="11" t="str">
        <f t="shared" si="47"/>
        <v xml:space="preserve">女        </v>
      </c>
      <c r="D398" s="11" t="str">
        <f>"汉族"</f>
        <v>汉族</v>
      </c>
      <c r="E398" s="11" t="str">
        <f>"532225199002101521"</f>
        <v>532225199002101521</v>
      </c>
      <c r="F398" s="11" t="str">
        <f>"13529497780"</f>
        <v>13529497780</v>
      </c>
      <c r="G398" s="11" t="str">
        <f>""</f>
        <v/>
      </c>
      <c r="H398" s="11" t="str">
        <f t="shared" si="45"/>
        <v>小学</v>
      </c>
      <c r="I398" s="11" t="str">
        <f t="shared" si="46"/>
        <v>102:语文</v>
      </c>
      <c r="J398" s="11" t="s">
        <v>11</v>
      </c>
      <c r="K398" s="11" t="s">
        <v>41</v>
      </c>
      <c r="L398" s="15">
        <v>85.78</v>
      </c>
      <c r="M398" s="11">
        <v>4</v>
      </c>
      <c r="N398" s="20"/>
    </row>
    <row r="399" spans="1:14" s="10" customFormat="1" ht="33" customHeight="1">
      <c r="A399" s="11">
        <v>396</v>
      </c>
      <c r="B399" s="11" t="str">
        <f>"朱崇欢"</f>
        <v>朱崇欢</v>
      </c>
      <c r="C399" s="11" t="str">
        <f t="shared" si="47"/>
        <v xml:space="preserve">女        </v>
      </c>
      <c r="D399" s="11" t="str">
        <f>"布依族"</f>
        <v>布依族</v>
      </c>
      <c r="E399" s="11" t="str">
        <f>"522701199502056821"</f>
        <v>522701199502056821</v>
      </c>
      <c r="F399" s="11" t="str">
        <f>"18385655771"</f>
        <v>18385655771</v>
      </c>
      <c r="G399" s="11" t="str">
        <f>"贵州省都匀市摆忙乡坪阳村八组"</f>
        <v>贵州省都匀市摆忙乡坪阳村八组</v>
      </c>
      <c r="H399" s="11" t="str">
        <f t="shared" si="45"/>
        <v>小学</v>
      </c>
      <c r="I399" s="11" t="str">
        <f t="shared" si="46"/>
        <v>102:语文</v>
      </c>
      <c r="J399" s="11" t="s">
        <v>11</v>
      </c>
      <c r="K399" s="11" t="s">
        <v>41</v>
      </c>
      <c r="L399" s="15">
        <v>85.76</v>
      </c>
      <c r="M399" s="11">
        <v>5</v>
      </c>
      <c r="N399" s="20"/>
    </row>
    <row r="400" spans="1:14" s="10" customFormat="1" ht="33" customHeight="1">
      <c r="A400" s="11">
        <v>397</v>
      </c>
      <c r="B400" s="11" t="str">
        <f>"陈艳"</f>
        <v>陈艳</v>
      </c>
      <c r="C400" s="11" t="str">
        <f t="shared" si="47"/>
        <v xml:space="preserve">女        </v>
      </c>
      <c r="D400" s="11" t="str">
        <f t="shared" ref="D400:D406" si="48">"汉族"</f>
        <v>汉族</v>
      </c>
      <c r="E400" s="11" t="str">
        <f>"530324199611060347"</f>
        <v>530324199611060347</v>
      </c>
      <c r="F400" s="11" t="str">
        <f>"15974570370"</f>
        <v>15974570370</v>
      </c>
      <c r="G400" s="11" t="str">
        <f>"云南省曲靖市罗平县罗雄镇法金甸居委会法金甸村96号"</f>
        <v>云南省曲靖市罗平县罗雄镇法金甸居委会法金甸村96号</v>
      </c>
      <c r="H400" s="11" t="str">
        <f t="shared" si="45"/>
        <v>小学</v>
      </c>
      <c r="I400" s="11" t="str">
        <f t="shared" si="46"/>
        <v>102:语文</v>
      </c>
      <c r="J400" s="11" t="s">
        <v>11</v>
      </c>
      <c r="K400" s="11" t="s">
        <v>41</v>
      </c>
      <c r="L400" s="15">
        <v>85.74</v>
      </c>
      <c r="M400" s="11">
        <v>6</v>
      </c>
      <c r="N400" s="20"/>
    </row>
    <row r="401" spans="1:14" s="10" customFormat="1" ht="33" customHeight="1">
      <c r="A401" s="11">
        <v>398</v>
      </c>
      <c r="B401" s="11" t="str">
        <f>"赵鑫"</f>
        <v>赵鑫</v>
      </c>
      <c r="C401" s="11" t="str">
        <f>"男        "</f>
        <v xml:space="preserve">男        </v>
      </c>
      <c r="D401" s="11" t="str">
        <f t="shared" si="48"/>
        <v>汉族</v>
      </c>
      <c r="E401" s="11" t="str">
        <f>"530323199611060711"</f>
        <v>530323199611060711</v>
      </c>
      <c r="F401" s="11" t="str">
        <f>"17787410919"</f>
        <v>17787410919</v>
      </c>
      <c r="G401" s="11" t="str">
        <f>"云南省曲靖市师宗县竹基镇28号"</f>
        <v>云南省曲靖市师宗县竹基镇28号</v>
      </c>
      <c r="H401" s="11" t="str">
        <f t="shared" si="45"/>
        <v>小学</v>
      </c>
      <c r="I401" s="11" t="str">
        <f t="shared" si="46"/>
        <v>102:语文</v>
      </c>
      <c r="J401" s="11" t="s">
        <v>11</v>
      </c>
      <c r="K401" s="11" t="s">
        <v>41</v>
      </c>
      <c r="L401" s="15">
        <v>85.12</v>
      </c>
      <c r="M401" s="11">
        <v>7</v>
      </c>
      <c r="N401" s="20"/>
    </row>
    <row r="402" spans="1:14" s="10" customFormat="1" ht="33" customHeight="1">
      <c r="A402" s="11">
        <v>399</v>
      </c>
      <c r="B402" s="11" t="str">
        <f>"孙瑞"</f>
        <v>孙瑞</v>
      </c>
      <c r="C402" s="11" t="str">
        <f>"女        "</f>
        <v xml:space="preserve">女        </v>
      </c>
      <c r="D402" s="11" t="str">
        <f t="shared" si="48"/>
        <v>汉族</v>
      </c>
      <c r="E402" s="11" t="str">
        <f>"530322199303162648"</f>
        <v>530322199303162648</v>
      </c>
      <c r="F402" s="11" t="str">
        <f>"18725051586"</f>
        <v>18725051586</v>
      </c>
      <c r="G402" s="11" t="str">
        <f>"云南省曲靖市陆良县小百户镇上坝村委会上坝村180号"</f>
        <v>云南省曲靖市陆良县小百户镇上坝村委会上坝村180号</v>
      </c>
      <c r="H402" s="11" t="str">
        <f t="shared" si="45"/>
        <v>小学</v>
      </c>
      <c r="I402" s="11" t="str">
        <f t="shared" si="46"/>
        <v>102:语文</v>
      </c>
      <c r="J402" s="11" t="s">
        <v>11</v>
      </c>
      <c r="K402" s="11" t="s">
        <v>41</v>
      </c>
      <c r="L402" s="15">
        <v>84.9</v>
      </c>
      <c r="M402" s="11">
        <v>8</v>
      </c>
      <c r="N402" s="20"/>
    </row>
    <row r="403" spans="1:14" s="10" customFormat="1" ht="33" customHeight="1">
      <c r="A403" s="11">
        <v>400</v>
      </c>
      <c r="B403" s="11" t="str">
        <f>"刘祥"</f>
        <v>刘祥</v>
      </c>
      <c r="C403" s="11" t="str">
        <f>"男        "</f>
        <v xml:space="preserve">男        </v>
      </c>
      <c r="D403" s="11" t="str">
        <f t="shared" si="48"/>
        <v>汉族</v>
      </c>
      <c r="E403" s="11" t="str">
        <f>"532225199204082154"</f>
        <v>532225199204082154</v>
      </c>
      <c r="F403" s="11" t="str">
        <f>"18313301992"</f>
        <v>18313301992</v>
      </c>
      <c r="G403" s="11" t="str">
        <f>"云南省曲靖市富源县竹园镇竹园村委会乍勒村"</f>
        <v>云南省曲靖市富源县竹园镇竹园村委会乍勒村</v>
      </c>
      <c r="H403" s="11" t="str">
        <f t="shared" ref="H403:H424" si="49">"小学"</f>
        <v>小学</v>
      </c>
      <c r="I403" s="11" t="str">
        <f t="shared" si="46"/>
        <v>102:语文</v>
      </c>
      <c r="J403" s="11" t="s">
        <v>11</v>
      </c>
      <c r="K403" s="11" t="s">
        <v>41</v>
      </c>
      <c r="L403" s="15">
        <v>84.84</v>
      </c>
      <c r="M403" s="11">
        <v>9</v>
      </c>
      <c r="N403" s="20"/>
    </row>
    <row r="404" spans="1:14" s="10" customFormat="1" ht="33" customHeight="1">
      <c r="A404" s="11">
        <v>401</v>
      </c>
      <c r="B404" s="11" t="str">
        <f>"方锦"</f>
        <v>方锦</v>
      </c>
      <c r="C404" s="11" t="str">
        <f>"男        "</f>
        <v xml:space="preserve">男        </v>
      </c>
      <c r="D404" s="11" t="str">
        <f t="shared" si="48"/>
        <v>汉族</v>
      </c>
      <c r="E404" s="11" t="str">
        <f>"530324199307070313"</f>
        <v>530324199307070313</v>
      </c>
      <c r="F404" s="11" t="str">
        <f>"18388581680"</f>
        <v>18388581680</v>
      </c>
      <c r="G404" s="11" t="str">
        <f>"云南省曲靖市罗平县腊山街道大水塘村252号"</f>
        <v>云南省曲靖市罗平县腊山街道大水塘村252号</v>
      </c>
      <c r="H404" s="11" t="str">
        <f t="shared" si="49"/>
        <v>小学</v>
      </c>
      <c r="I404" s="11" t="str">
        <f t="shared" si="46"/>
        <v>102:语文</v>
      </c>
      <c r="J404" s="11" t="s">
        <v>11</v>
      </c>
      <c r="K404" s="11" t="s">
        <v>41</v>
      </c>
      <c r="L404" s="15">
        <v>83.6</v>
      </c>
      <c r="M404" s="11">
        <v>10</v>
      </c>
      <c r="N404" s="20"/>
    </row>
    <row r="405" spans="1:14" s="10" customFormat="1" ht="33" customHeight="1">
      <c r="A405" s="11">
        <v>402</v>
      </c>
      <c r="B405" s="11" t="str">
        <f>"田锦文"</f>
        <v>田锦文</v>
      </c>
      <c r="C405" s="11" t="str">
        <f>"男        "</f>
        <v xml:space="preserve">男        </v>
      </c>
      <c r="D405" s="11" t="str">
        <f t="shared" si="48"/>
        <v>汉族</v>
      </c>
      <c r="E405" s="11" t="str">
        <f>"452731199910262114"</f>
        <v>452731199910262114</v>
      </c>
      <c r="F405" s="11" t="str">
        <f>"18776875406"</f>
        <v>18776875406</v>
      </c>
      <c r="G405" s="11" t="str">
        <f>"广西河池大化县七百弄乡报上村元洞屯"</f>
        <v>广西河池大化县七百弄乡报上村元洞屯</v>
      </c>
      <c r="H405" s="11" t="str">
        <f t="shared" si="49"/>
        <v>小学</v>
      </c>
      <c r="I405" s="11" t="str">
        <f t="shared" si="46"/>
        <v>102:语文</v>
      </c>
      <c r="J405" s="11" t="s">
        <v>11</v>
      </c>
      <c r="K405" s="11" t="s">
        <v>41</v>
      </c>
      <c r="L405" s="15">
        <v>83.58</v>
      </c>
      <c r="M405" s="11">
        <v>11</v>
      </c>
      <c r="N405" s="20"/>
    </row>
    <row r="406" spans="1:14" s="10" customFormat="1" ht="33" customHeight="1">
      <c r="A406" s="11">
        <v>403</v>
      </c>
      <c r="B406" s="11" t="str">
        <f>"陈敏娟"</f>
        <v>陈敏娟</v>
      </c>
      <c r="C406" s="11" t="str">
        <f>"女        "</f>
        <v xml:space="preserve">女        </v>
      </c>
      <c r="D406" s="11" t="str">
        <f t="shared" si="48"/>
        <v>汉族</v>
      </c>
      <c r="E406" s="11" t="str">
        <f>"53032419930328156X"</f>
        <v>53032419930328156X</v>
      </c>
      <c r="F406" s="11" t="str">
        <f>"15012205853"</f>
        <v>15012205853</v>
      </c>
      <c r="G406" s="11" t="str">
        <f>"云南省曲靖市罗平县九龙镇"</f>
        <v>云南省曲靖市罗平县九龙镇</v>
      </c>
      <c r="H406" s="11" t="str">
        <f t="shared" si="49"/>
        <v>小学</v>
      </c>
      <c r="I406" s="11" t="str">
        <f t="shared" si="46"/>
        <v>102:语文</v>
      </c>
      <c r="J406" s="11" t="s">
        <v>11</v>
      </c>
      <c r="K406" s="11" t="s">
        <v>41</v>
      </c>
      <c r="L406" s="15">
        <v>82.78</v>
      </c>
      <c r="M406" s="11">
        <v>12</v>
      </c>
      <c r="N406" s="20"/>
    </row>
    <row r="407" spans="1:14" s="10" customFormat="1" ht="33" customHeight="1">
      <c r="A407" s="11">
        <v>404</v>
      </c>
      <c r="B407" s="11" t="str">
        <f>"杨梦"</f>
        <v>杨梦</v>
      </c>
      <c r="C407" s="11" t="str">
        <f>"女        "</f>
        <v xml:space="preserve">女        </v>
      </c>
      <c r="D407" s="11" t="str">
        <f>"壮族"</f>
        <v>壮族</v>
      </c>
      <c r="E407" s="11" t="str">
        <f>"452631199208170345"</f>
        <v>452631199208170345</v>
      </c>
      <c r="F407" s="11" t="str">
        <f>"18178600792"</f>
        <v>18178600792</v>
      </c>
      <c r="G407" s="11" t="str">
        <f>"广西百色市隆林县桠杈镇生基湾村么能屯"</f>
        <v>广西百色市隆林县桠杈镇生基湾村么能屯</v>
      </c>
      <c r="H407" s="11" t="str">
        <f t="shared" si="49"/>
        <v>小学</v>
      </c>
      <c r="I407" s="11" t="str">
        <f t="shared" si="46"/>
        <v>102:语文</v>
      </c>
      <c r="J407" s="11" t="s">
        <v>11</v>
      </c>
      <c r="K407" s="11" t="s">
        <v>41</v>
      </c>
      <c r="L407" s="15">
        <v>82.4</v>
      </c>
      <c r="M407" s="11">
        <v>13</v>
      </c>
      <c r="N407" s="20"/>
    </row>
    <row r="408" spans="1:14" s="10" customFormat="1" ht="33" customHeight="1">
      <c r="A408" s="11">
        <v>405</v>
      </c>
      <c r="B408" s="11" t="str">
        <f>"陆红山"</f>
        <v>陆红山</v>
      </c>
      <c r="C408" s="11" t="str">
        <f>"男        "</f>
        <v xml:space="preserve">男        </v>
      </c>
      <c r="D408" s="11" t="str">
        <f>"汉族"</f>
        <v>汉族</v>
      </c>
      <c r="E408" s="11" t="str">
        <f>"530324199203280914"</f>
        <v>530324199203280914</v>
      </c>
      <c r="F408" s="11" t="str">
        <f>"15912220578"</f>
        <v>15912220578</v>
      </c>
      <c r="G408" s="11" t="str">
        <f>"云南省曲靖市罗平县"</f>
        <v>云南省曲靖市罗平县</v>
      </c>
      <c r="H408" s="11" t="str">
        <f t="shared" si="49"/>
        <v>小学</v>
      </c>
      <c r="I408" s="11" t="str">
        <f t="shared" si="46"/>
        <v>102:语文</v>
      </c>
      <c r="J408" s="11" t="s">
        <v>11</v>
      </c>
      <c r="K408" s="11" t="s">
        <v>41</v>
      </c>
      <c r="L408" s="15">
        <v>81.5</v>
      </c>
      <c r="M408" s="11">
        <v>14</v>
      </c>
      <c r="N408" s="20"/>
    </row>
    <row r="409" spans="1:14" s="10" customFormat="1" ht="33" customHeight="1">
      <c r="A409" s="11">
        <v>406</v>
      </c>
      <c r="B409" s="11" t="str">
        <f>"陶宣伊"</f>
        <v>陶宣伊</v>
      </c>
      <c r="C409" s="11" t="str">
        <f>"女        "</f>
        <v xml:space="preserve">女        </v>
      </c>
      <c r="D409" s="11" t="str">
        <f>"苗族"</f>
        <v>苗族</v>
      </c>
      <c r="E409" s="11" t="str">
        <f>"452631199612083147"</f>
        <v>452631199612083147</v>
      </c>
      <c r="F409" s="11" t="str">
        <f>"18077678060"</f>
        <v>18077678060</v>
      </c>
      <c r="G409" s="11" t="str">
        <f>"广西百色市隆林县德峨镇中心小学"</f>
        <v>广西百色市隆林县德峨镇中心小学</v>
      </c>
      <c r="H409" s="11" t="str">
        <f t="shared" si="49"/>
        <v>小学</v>
      </c>
      <c r="I409" s="11" t="str">
        <f t="shared" si="46"/>
        <v>102:语文</v>
      </c>
      <c r="J409" s="11" t="s">
        <v>11</v>
      </c>
      <c r="K409" s="11" t="s">
        <v>41</v>
      </c>
      <c r="L409" s="15">
        <v>81.42</v>
      </c>
      <c r="M409" s="11">
        <v>15</v>
      </c>
      <c r="N409" s="20"/>
    </row>
    <row r="410" spans="1:14" s="10" customFormat="1" ht="33" customHeight="1">
      <c r="A410" s="11">
        <v>407</v>
      </c>
      <c r="B410" s="11" t="str">
        <f>"龚国美"</f>
        <v>龚国美</v>
      </c>
      <c r="C410" s="11" t="str">
        <f>"女        "</f>
        <v xml:space="preserve">女        </v>
      </c>
      <c r="D410" s="11" t="str">
        <f>"汉族"</f>
        <v>汉族</v>
      </c>
      <c r="E410" s="11" t="str">
        <f>"522322199107210024"</f>
        <v>522322199107210024</v>
      </c>
      <c r="F410" s="11" t="str">
        <f>"15186426484"</f>
        <v>15186426484</v>
      </c>
      <c r="G410" s="11" t="str">
        <f>"贵州省黔西南州兴仁县东湖社区"</f>
        <v>贵州省黔西南州兴仁县东湖社区</v>
      </c>
      <c r="H410" s="11" t="str">
        <f t="shared" si="49"/>
        <v>小学</v>
      </c>
      <c r="I410" s="11" t="str">
        <f t="shared" si="46"/>
        <v>102:语文</v>
      </c>
      <c r="J410" s="11" t="s">
        <v>11</v>
      </c>
      <c r="K410" s="11" t="s">
        <v>41</v>
      </c>
      <c r="L410" s="15">
        <v>80.760000000000005</v>
      </c>
      <c r="M410" s="11">
        <v>16</v>
      </c>
      <c r="N410" s="20"/>
    </row>
    <row r="411" spans="1:14" s="10" customFormat="1" ht="33" customHeight="1">
      <c r="A411" s="11">
        <v>408</v>
      </c>
      <c r="B411" s="11" t="str">
        <f>"熊秀"</f>
        <v>熊秀</v>
      </c>
      <c r="C411" s="11" t="str">
        <f>"女        "</f>
        <v xml:space="preserve">女        </v>
      </c>
      <c r="D411" s="11" t="str">
        <f>"汉族"</f>
        <v>汉族</v>
      </c>
      <c r="E411" s="11" t="str">
        <f>"522322199101071545"</f>
        <v>522322199101071545</v>
      </c>
      <c r="F411" s="11" t="str">
        <f>"18385654668"</f>
        <v>18385654668</v>
      </c>
      <c r="G411" s="11" t="str">
        <f>"贵州省兴仁县波阳镇杨柳村大园子组"</f>
        <v>贵州省兴仁县波阳镇杨柳村大园子组</v>
      </c>
      <c r="H411" s="11" t="str">
        <f t="shared" si="49"/>
        <v>小学</v>
      </c>
      <c r="I411" s="11" t="str">
        <f t="shared" si="46"/>
        <v>102:语文</v>
      </c>
      <c r="J411" s="11" t="s">
        <v>11</v>
      </c>
      <c r="K411" s="11" t="s">
        <v>41</v>
      </c>
      <c r="L411" s="15">
        <v>80.739999999999995</v>
      </c>
      <c r="M411" s="11">
        <v>17</v>
      </c>
      <c r="N411" s="20"/>
    </row>
    <row r="412" spans="1:14" s="10" customFormat="1" ht="33" customHeight="1">
      <c r="A412" s="11">
        <v>409</v>
      </c>
      <c r="B412" s="11" t="str">
        <f>"罗艳芳"</f>
        <v>罗艳芳</v>
      </c>
      <c r="C412" s="11" t="str">
        <f>"女        "</f>
        <v xml:space="preserve">女        </v>
      </c>
      <c r="D412" s="11" t="str">
        <f>"壮族"</f>
        <v>壮族</v>
      </c>
      <c r="E412" s="11" t="str">
        <f>"452631199204012067"</f>
        <v>452631199204012067</v>
      </c>
      <c r="F412" s="11" t="str">
        <f>"17776170987"</f>
        <v>17776170987</v>
      </c>
      <c r="G412" s="11" t="str">
        <f>"广西隆林县者浪乡者烘村三队023号"</f>
        <v>广西隆林县者浪乡者烘村三队023号</v>
      </c>
      <c r="H412" s="11" t="str">
        <f t="shared" si="49"/>
        <v>小学</v>
      </c>
      <c r="I412" s="11" t="str">
        <f t="shared" si="46"/>
        <v>102:语文</v>
      </c>
      <c r="J412" s="11" t="s">
        <v>11</v>
      </c>
      <c r="K412" s="11" t="s">
        <v>41</v>
      </c>
      <c r="L412" s="15">
        <v>80.62</v>
      </c>
      <c r="M412" s="11">
        <v>18</v>
      </c>
      <c r="N412" s="20"/>
    </row>
    <row r="413" spans="1:14" s="10" customFormat="1" ht="33" customHeight="1">
      <c r="A413" s="11">
        <v>410</v>
      </c>
      <c r="B413" s="11" t="str">
        <f>"王念红"</f>
        <v>王念红</v>
      </c>
      <c r="C413" s="11" t="str">
        <f>"女        "</f>
        <v xml:space="preserve">女        </v>
      </c>
      <c r="D413" s="11" t="str">
        <f>"汉族"</f>
        <v>汉族</v>
      </c>
      <c r="E413" s="11" t="str">
        <f>"522321199802044922"</f>
        <v>522321199802044922</v>
      </c>
      <c r="F413" s="11" t="str">
        <f>"15585998619"</f>
        <v>15585998619</v>
      </c>
      <c r="G413" s="11" t="str">
        <f>"贵州省兴义市马岭镇马岭村11组"</f>
        <v>贵州省兴义市马岭镇马岭村11组</v>
      </c>
      <c r="H413" s="11" t="str">
        <f t="shared" si="49"/>
        <v>小学</v>
      </c>
      <c r="I413" s="11" t="str">
        <f t="shared" si="46"/>
        <v>102:语文</v>
      </c>
      <c r="J413" s="11" t="s">
        <v>11</v>
      </c>
      <c r="K413" s="11" t="s">
        <v>41</v>
      </c>
      <c r="L413" s="15">
        <v>78.900000000000006</v>
      </c>
      <c r="M413" s="11">
        <v>19</v>
      </c>
      <c r="N413" s="20"/>
    </row>
    <row r="414" spans="1:14" s="10" customFormat="1" ht="33" customHeight="1">
      <c r="A414" s="11">
        <v>411</v>
      </c>
      <c r="B414" s="11" t="str">
        <f>"向文富"</f>
        <v>向文富</v>
      </c>
      <c r="C414" s="11" t="str">
        <f>"男        "</f>
        <v xml:space="preserve">男        </v>
      </c>
      <c r="D414" s="11" t="str">
        <f>"彝族"</f>
        <v>彝族</v>
      </c>
      <c r="E414" s="11" t="str">
        <f>"532621199104012518"</f>
        <v>532621199104012518</v>
      </c>
      <c r="F414" s="11" t="str">
        <f>"15126471611"</f>
        <v>15126471611</v>
      </c>
      <c r="G414" s="11" t="str">
        <f>"文山市坝心乡向家小平坝村"</f>
        <v>文山市坝心乡向家小平坝村</v>
      </c>
      <c r="H414" s="11" t="str">
        <f t="shared" si="49"/>
        <v>小学</v>
      </c>
      <c r="I414" s="11" t="str">
        <f t="shared" si="46"/>
        <v>102:语文</v>
      </c>
      <c r="J414" s="11" t="s">
        <v>11</v>
      </c>
      <c r="K414" s="11" t="s">
        <v>41</v>
      </c>
      <c r="L414" s="15">
        <v>78.14</v>
      </c>
      <c r="M414" s="11">
        <v>20</v>
      </c>
      <c r="N414" s="20"/>
    </row>
    <row r="415" spans="1:14" s="10" customFormat="1" ht="33" customHeight="1">
      <c r="A415" s="11">
        <v>412</v>
      </c>
      <c r="B415" s="11" t="str">
        <f>"伍思雨"</f>
        <v>伍思雨</v>
      </c>
      <c r="C415" s="11" t="str">
        <f>"女        "</f>
        <v xml:space="preserve">女        </v>
      </c>
      <c r="D415" s="11" t="str">
        <f>"仡佬族"</f>
        <v>仡佬族</v>
      </c>
      <c r="E415" s="11" t="str">
        <f>"452631199210123409"</f>
        <v>452631199210123409</v>
      </c>
      <c r="F415" s="11" t="str">
        <f>"15277711608"</f>
        <v>15277711608</v>
      </c>
      <c r="G415" s="11" t="str">
        <f>""</f>
        <v/>
      </c>
      <c r="H415" s="11" t="str">
        <f t="shared" si="49"/>
        <v>小学</v>
      </c>
      <c r="I415" s="11" t="str">
        <f t="shared" ref="I415:I424" si="50">"102:语文"</f>
        <v>102:语文</v>
      </c>
      <c r="J415" s="11" t="s">
        <v>11</v>
      </c>
      <c r="K415" s="11" t="s">
        <v>41</v>
      </c>
      <c r="L415" s="15">
        <v>77.739999999999995</v>
      </c>
      <c r="M415" s="11">
        <v>21</v>
      </c>
      <c r="N415" s="20"/>
    </row>
    <row r="416" spans="1:14" s="10" customFormat="1" ht="33" customHeight="1">
      <c r="A416" s="11">
        <v>413</v>
      </c>
      <c r="B416" s="11" t="str">
        <f>"桂娟"</f>
        <v>桂娟</v>
      </c>
      <c r="C416" s="11" t="str">
        <f>"女        "</f>
        <v xml:space="preserve">女        </v>
      </c>
      <c r="D416" s="11" t="str">
        <f>"回族"</f>
        <v>回族</v>
      </c>
      <c r="E416" s="11" t="str">
        <f>"530328199306022446"</f>
        <v>530328199306022446</v>
      </c>
      <c r="F416" s="11" t="str">
        <f>"15288059995"</f>
        <v>15288059995</v>
      </c>
      <c r="G416" s="11" t="str">
        <f>"云南省曲靖市沾益县盘江镇荣兴村委会荣兴北村152号"</f>
        <v>云南省曲靖市沾益县盘江镇荣兴村委会荣兴北村152号</v>
      </c>
      <c r="H416" s="11" t="str">
        <f t="shared" si="49"/>
        <v>小学</v>
      </c>
      <c r="I416" s="11" t="str">
        <f t="shared" si="50"/>
        <v>102:语文</v>
      </c>
      <c r="J416" s="11" t="s">
        <v>11</v>
      </c>
      <c r="K416" s="11" t="s">
        <v>41</v>
      </c>
      <c r="L416" s="15">
        <v>77.459999999999994</v>
      </c>
      <c r="M416" s="11">
        <v>22</v>
      </c>
      <c r="N416" s="20"/>
    </row>
    <row r="417" spans="1:14" s="10" customFormat="1" ht="33" customHeight="1">
      <c r="A417" s="11">
        <v>414</v>
      </c>
      <c r="B417" s="11" t="str">
        <f>"符足技"</f>
        <v>符足技</v>
      </c>
      <c r="C417" s="11" t="str">
        <f>"男        "</f>
        <v xml:space="preserve">男        </v>
      </c>
      <c r="D417" s="11" t="str">
        <f>"苗族"</f>
        <v>苗族</v>
      </c>
      <c r="E417" s="11" t="str">
        <f>"522326199502023013"</f>
        <v>522326199502023013</v>
      </c>
      <c r="F417" s="11" t="str">
        <f>"18798402669"</f>
        <v>18798402669</v>
      </c>
      <c r="G417" s="11" t="str">
        <f>"贵州省望谟县郊纳镇八步村下寨组"</f>
        <v>贵州省望谟县郊纳镇八步村下寨组</v>
      </c>
      <c r="H417" s="11" t="str">
        <f t="shared" si="49"/>
        <v>小学</v>
      </c>
      <c r="I417" s="11" t="str">
        <f t="shared" si="50"/>
        <v>102:语文</v>
      </c>
      <c r="J417" s="11" t="s">
        <v>11</v>
      </c>
      <c r="K417" s="11" t="s">
        <v>41</v>
      </c>
      <c r="L417" s="15">
        <v>76.92</v>
      </c>
      <c r="M417" s="11">
        <v>23</v>
      </c>
      <c r="N417" s="20"/>
    </row>
    <row r="418" spans="1:14" s="10" customFormat="1" ht="33" customHeight="1">
      <c r="A418" s="11">
        <v>415</v>
      </c>
      <c r="B418" s="11" t="str">
        <f>"陶晓"</f>
        <v>陶晓</v>
      </c>
      <c r="C418" s="11" t="str">
        <f>"女        "</f>
        <v xml:space="preserve">女        </v>
      </c>
      <c r="D418" s="11" t="str">
        <f>"壮族"</f>
        <v>壮族</v>
      </c>
      <c r="E418" s="11" t="str">
        <f>"452631199908174566"</f>
        <v>452631199908174566</v>
      </c>
      <c r="F418" s="11" t="str">
        <f>"18977641297"</f>
        <v>18977641297</v>
      </c>
      <c r="G418" s="11" t="str">
        <f>"广西省百色市隆林县岩茶乡弄金村83号"</f>
        <v>广西省百色市隆林县岩茶乡弄金村83号</v>
      </c>
      <c r="H418" s="11" t="str">
        <f t="shared" si="49"/>
        <v>小学</v>
      </c>
      <c r="I418" s="11" t="str">
        <f t="shared" si="50"/>
        <v>102:语文</v>
      </c>
      <c r="J418" s="11" t="s">
        <v>11</v>
      </c>
      <c r="K418" s="11" t="s">
        <v>41</v>
      </c>
      <c r="L418" s="15">
        <v>75.099999999999994</v>
      </c>
      <c r="M418" s="11">
        <v>24</v>
      </c>
      <c r="N418" s="20"/>
    </row>
    <row r="419" spans="1:14" s="10" customFormat="1" ht="33" customHeight="1">
      <c r="A419" s="11">
        <v>416</v>
      </c>
      <c r="B419" s="11" t="str">
        <f>"段明新"</f>
        <v>段明新</v>
      </c>
      <c r="C419" s="11" t="str">
        <f>"女        "</f>
        <v xml:space="preserve">女        </v>
      </c>
      <c r="D419" s="11" t="str">
        <f>"汉族"</f>
        <v>汉族</v>
      </c>
      <c r="E419" s="11" t="str">
        <f>"522325199404080026"</f>
        <v>522325199404080026</v>
      </c>
      <c r="F419" s="11" t="str">
        <f>"15285462076"</f>
        <v>15285462076</v>
      </c>
      <c r="G419" s="11" t="str">
        <f>"贵州省贞丰县珉谷镇劳动三巷34号"</f>
        <v>贵州省贞丰县珉谷镇劳动三巷34号</v>
      </c>
      <c r="H419" s="11" t="str">
        <f t="shared" si="49"/>
        <v>小学</v>
      </c>
      <c r="I419" s="11" t="str">
        <f t="shared" si="50"/>
        <v>102:语文</v>
      </c>
      <c r="J419" s="11" t="s">
        <v>11</v>
      </c>
      <c r="K419" s="11" t="s">
        <v>41</v>
      </c>
      <c r="L419" s="15">
        <v>73.959999999999994</v>
      </c>
      <c r="M419" s="11">
        <v>25</v>
      </c>
      <c r="N419" s="20"/>
    </row>
    <row r="420" spans="1:14" s="10" customFormat="1" ht="33" customHeight="1">
      <c r="A420" s="11">
        <v>417</v>
      </c>
      <c r="B420" s="11" t="str">
        <f>"王晚连"</f>
        <v>王晚连</v>
      </c>
      <c r="C420" s="11" t="str">
        <f>"女        "</f>
        <v xml:space="preserve">女        </v>
      </c>
      <c r="D420" s="11" t="str">
        <f>"布依族"</f>
        <v>布依族</v>
      </c>
      <c r="E420" s="11" t="str">
        <f>"522326199304142425"</f>
        <v>522326199304142425</v>
      </c>
      <c r="F420" s="11" t="str">
        <f>"18385331479"</f>
        <v>18385331479</v>
      </c>
      <c r="G420" s="11" t="str">
        <f>"贵州省望谟县蔗香乡新寨村坝尾组"</f>
        <v>贵州省望谟县蔗香乡新寨村坝尾组</v>
      </c>
      <c r="H420" s="11" t="str">
        <f t="shared" si="49"/>
        <v>小学</v>
      </c>
      <c r="I420" s="11" t="str">
        <f t="shared" si="50"/>
        <v>102:语文</v>
      </c>
      <c r="J420" s="11" t="s">
        <v>11</v>
      </c>
      <c r="K420" s="11" t="s">
        <v>41</v>
      </c>
      <c r="L420" s="15">
        <v>73.040000000000006</v>
      </c>
      <c r="M420" s="11">
        <v>26</v>
      </c>
      <c r="N420" s="20"/>
    </row>
    <row r="421" spans="1:14" s="10" customFormat="1" ht="33" customHeight="1">
      <c r="A421" s="11">
        <v>418</v>
      </c>
      <c r="B421" s="11" t="str">
        <f>"何星江"</f>
        <v>何星江</v>
      </c>
      <c r="C421" s="11" t="str">
        <f>"男        "</f>
        <v xml:space="preserve">男        </v>
      </c>
      <c r="D421" s="11" t="str">
        <f>"壮族"</f>
        <v>壮族</v>
      </c>
      <c r="E421" s="11" t="str">
        <f>"532628199507032710"</f>
        <v>532628199507032710</v>
      </c>
      <c r="F421" s="11" t="str">
        <f>"18388497580"</f>
        <v>18388497580</v>
      </c>
      <c r="G421" s="11" t="str">
        <f>"云南省文山州富宁县田蓬蓬戈桃村民委戈造小组"</f>
        <v>云南省文山州富宁县田蓬蓬戈桃村民委戈造小组</v>
      </c>
      <c r="H421" s="11" t="str">
        <f t="shared" si="49"/>
        <v>小学</v>
      </c>
      <c r="I421" s="11" t="str">
        <f t="shared" si="50"/>
        <v>102:语文</v>
      </c>
      <c r="J421" s="11" t="s">
        <v>11</v>
      </c>
      <c r="K421" s="11" t="s">
        <v>41</v>
      </c>
      <c r="L421" s="15">
        <v>72.400000000000006</v>
      </c>
      <c r="M421" s="11">
        <v>27</v>
      </c>
      <c r="N421" s="20"/>
    </row>
    <row r="422" spans="1:14" s="10" customFormat="1" ht="33" customHeight="1">
      <c r="A422" s="11">
        <v>419</v>
      </c>
      <c r="B422" s="11" t="str">
        <f>"吴云栖"</f>
        <v>吴云栖</v>
      </c>
      <c r="C422" s="11" t="str">
        <f>"女        "</f>
        <v xml:space="preserve">女        </v>
      </c>
      <c r="D422" s="11" t="str">
        <f>"汉族"</f>
        <v>汉族</v>
      </c>
      <c r="E422" s="11" t="str">
        <f>"452631199509220326"</f>
        <v>452631199509220326</v>
      </c>
      <c r="F422" s="11" t="str">
        <f>"18407716086"</f>
        <v>18407716086</v>
      </c>
      <c r="G422" s="11" t="str">
        <f>"广西百色市隆林县桠杈镇龙良村老龙良屯"</f>
        <v>广西百色市隆林县桠杈镇龙良村老龙良屯</v>
      </c>
      <c r="H422" s="11" t="str">
        <f t="shared" si="49"/>
        <v>小学</v>
      </c>
      <c r="I422" s="11" t="str">
        <f t="shared" si="50"/>
        <v>102:语文</v>
      </c>
      <c r="J422" s="11" t="s">
        <v>11</v>
      </c>
      <c r="K422" s="11" t="s">
        <v>41</v>
      </c>
      <c r="L422" s="15">
        <v>65.56</v>
      </c>
      <c r="M422" s="11">
        <v>28</v>
      </c>
      <c r="N422" s="20"/>
    </row>
    <row r="423" spans="1:14" s="10" customFormat="1" ht="33" customHeight="1">
      <c r="A423" s="11">
        <v>420</v>
      </c>
      <c r="B423" s="11" t="str">
        <f>"周洁"</f>
        <v>周洁</v>
      </c>
      <c r="C423" s="11" t="str">
        <f>"女        "</f>
        <v xml:space="preserve">女        </v>
      </c>
      <c r="D423" s="11" t="str">
        <f>"汉族"</f>
        <v>汉族</v>
      </c>
      <c r="E423" s="11" t="str">
        <f>"452631199408162307"</f>
        <v>452631199408162307</v>
      </c>
      <c r="F423" s="11" t="str">
        <f>"15177819093"</f>
        <v>15177819093</v>
      </c>
      <c r="G423" s="11" t="str">
        <f>"广西省百色市隆林县天生桥镇安然村龙塘屯019号"</f>
        <v>广西省百色市隆林县天生桥镇安然村龙塘屯019号</v>
      </c>
      <c r="H423" s="11" t="str">
        <f t="shared" si="49"/>
        <v>小学</v>
      </c>
      <c r="I423" s="11" t="str">
        <f t="shared" si="50"/>
        <v>102:语文</v>
      </c>
      <c r="J423" s="11" t="s">
        <v>11</v>
      </c>
      <c r="K423" s="11" t="s">
        <v>41</v>
      </c>
      <c r="L423" s="23" t="s">
        <v>45</v>
      </c>
      <c r="M423" s="11">
        <v>29</v>
      </c>
      <c r="N423" s="20"/>
    </row>
    <row r="424" spans="1:14" s="10" customFormat="1" ht="33" customHeight="1">
      <c r="A424" s="11">
        <v>421</v>
      </c>
      <c r="B424" s="11" t="str">
        <f>"钱欢"</f>
        <v>钱欢</v>
      </c>
      <c r="C424" s="11" t="str">
        <f>"女        "</f>
        <v xml:space="preserve">女        </v>
      </c>
      <c r="D424" s="11" t="str">
        <f>"汉族"</f>
        <v>汉族</v>
      </c>
      <c r="E424" s="11" t="str">
        <f>"530324199210280381"</f>
        <v>530324199210280381</v>
      </c>
      <c r="F424" s="11" t="str">
        <f>"15187458371"</f>
        <v>15187458371</v>
      </c>
      <c r="G424" s="11" t="str">
        <f>"云南省曲靖市罗平县罗雄镇白龙潭村"</f>
        <v>云南省曲靖市罗平县罗雄镇白龙潭村</v>
      </c>
      <c r="H424" s="11" t="str">
        <f t="shared" si="49"/>
        <v>小学</v>
      </c>
      <c r="I424" s="11" t="str">
        <f t="shared" si="50"/>
        <v>102:语文</v>
      </c>
      <c r="J424" s="11" t="s">
        <v>11</v>
      </c>
      <c r="K424" s="11" t="s">
        <v>41</v>
      </c>
      <c r="L424" s="23" t="s">
        <v>45</v>
      </c>
      <c r="M424" s="11">
        <v>30</v>
      </c>
      <c r="N424" s="20"/>
    </row>
  </sheetData>
  <sortState ref="A4:N424">
    <sortCondition ref="A4:A424"/>
  </sortState>
  <mergeCells count="2">
    <mergeCell ref="A1:N1"/>
    <mergeCell ref="A2:N2"/>
  </mergeCells>
  <phoneticPr fontId="8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总排名</vt:lpstr>
      <vt:lpstr>总排名!Print_Titles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cp:lastPrinted>2018-07-29T03:37:54Z</cp:lastPrinted>
  <dcterms:created xsi:type="dcterms:W3CDTF">2018-07-22T05:29:00Z</dcterms:created>
  <dcterms:modified xsi:type="dcterms:W3CDTF">2018-07-29T07:43:42Z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